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activeTab="0"/>
  </bookViews>
  <sheets>
    <sheet name="Start here" sheetId="1" r:id="rId1"/>
    <sheet name="Setup" sheetId="2" r:id="rId2"/>
    <sheet name="Lines" sheetId="3" r:id="rId3"/>
    <sheet name="Suppliers" sheetId="4" r:id="rId4"/>
    <sheet name="Quotes" sheetId="5" r:id="rId5"/>
    <sheet name="Compare" sheetId="6" r:id="rId6"/>
    <sheet name="Award" sheetId="7" r:id="rId7"/>
  </sheets>
  <calcPr calcId="191029" fullCalcOnLoad="1"/>
</workbook>
</file>

<file path=xl/styles.xml><?xml version="1.0" encoding="utf-8"?>
<styleSheet xmlns="http://schemas.openxmlformats.org/spreadsheetml/2006/main">
  <numFmts count="3">
    <numFmt numFmtId="164" formatCode="yyyy-mm-dd"/>
    <numFmt numFmtId="165" formatCode="#,##0.00##"/>
    <numFmt numFmtId="166" formatCode="0.0%"/>
  </numFmts>
  <fonts count="6">
    <font>
      <sz val="11"/>
      <name val="Calibri"/>
      <family val="2"/>
    </font>
    <font>
      <b/>
      <sz val="11"/>
      <name val="Calibri"/>
      <family val="2"/>
    </font>
    <font>
      <b/>
      <sz val="14"/>
      <name val="Calibri"/>
      <family val="2"/>
    </font>
    <font>
      <i/>
      <sz val="10"/>
      <color rgb="FF475569"/>
      <name val="Calibri"/>
      <family val="2"/>
    </font>
    <font>
      <b/>
      <sz val="11"/>
      <color rgb="FF166534"/>
      <name val="Calibri"/>
      <family val="2"/>
    </font>
    <font>
      <b/>
      <sz val="11"/>
      <color rgb="FFFFFFFF"/>
      <name val="Calibri"/>
      <family val="2"/>
    </font>
  </fonts>
  <fills count="8">
    <fill>
      <patternFill patternType="none"/>
    </fill>
    <fill>
      <patternFill patternType="gray125"/>
    </fill>
    <fill>
      <patternFill patternType="solid">
        <fgColor rgb="FFF1F5F9"/>
        <bgColor indexed="64"/>
      </patternFill>
    </fill>
    <fill>
      <patternFill patternType="solid">
        <fgColor rgb="FFFFF8DB"/>
        <bgColor indexed="64"/>
      </patternFill>
    </fill>
    <fill>
      <patternFill patternType="solid">
        <fgColor rgb="FFE2E8F0"/>
        <bgColor indexed="64"/>
      </patternFill>
    </fill>
    <fill>
      <patternFill patternType="solid">
        <fgColor rgb="FFFDE68A"/>
        <bgColor indexed="64"/>
      </patternFill>
    </fill>
    <fill>
      <patternFill patternType="solid">
        <fgColor rgb="FFDCFCE7"/>
        <bgColor indexed="64"/>
      </patternFill>
    </fill>
    <fill>
      <patternFill patternType="solid">
        <fgColor rgb="FF0F766E"/>
        <bgColor indexed="64"/>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23">
    <xf numFmtId="0" fontId="0" fillId="0" borderId="0" xfId="0"/>
    <xf numFmtId="0" fontId="2" fillId="0" borderId="0" xfId="0" applyFont="1"/>
    <xf numFmtId="0" fontId="1" fillId="0" borderId="0" xfId="0" applyFont="1"/>
    <xf numFmtId="0" fontId="0" fillId="2" borderId="1" xfId="0" applyFill="1" applyBorder="1" applyAlignment="1">
      <alignment vertical="top"/>
    </xf>
    <xf numFmtId="0" fontId="1" fillId="4" borderId="1" xfId="0" applyFont="1" applyFill="1" applyBorder="1" applyAlignment="1">
      <alignment wrapText="1" vertical="center"/>
    </xf>
    <xf numFmtId="0" fontId="1" fillId="5" borderId="1" xfId="0" applyFont="1" applyFill="1" applyBorder="1" applyAlignment="1">
      <alignment wrapText="1" vertical="center"/>
    </xf>
    <xf numFmtId="0" fontId="0" fillId="3" borderId="1" xfId="0" applyFill="1" applyBorder="1" applyProtection="1">
      <protection locked="0"/>
    </xf>
    <xf numFmtId="164" fontId="0" fillId="3" borderId="1" xfId="0" applyNumberFormat="1" applyFill="1" applyBorder="1" applyProtection="1">
      <protection locked="0"/>
    </xf>
    <xf numFmtId="0" fontId="3" fillId="0" borderId="0" xfId="0" applyFont="1" applyAlignment="1">
      <alignment wrapText="1" vertical="top"/>
    </xf>
    <xf numFmtId="0" fontId="0" fillId="0" borderId="0" xfId="0" applyAlignment="1">
      <alignment wrapText="1" vertical="top"/>
    </xf>
    <xf numFmtId="164" fontId="0" fillId="2" borderId="1" xfId="0" applyNumberFormat="1" applyFill="1" applyBorder="1"/>
    <xf numFmtId="0" fontId="0" fillId="2" borderId="1" xfId="0" applyFill="1" applyBorder="1"/>
    <xf numFmtId="165" fontId="0" fillId="3" borderId="1" xfId="0" applyNumberFormat="1" applyFill="1" applyBorder="1" applyProtection="1">
      <protection locked="0"/>
    </xf>
    <xf numFmtId="3" fontId="0" fillId="3" borderId="1" xfId="0" applyNumberFormat="1" applyFill="1" applyBorder="1" applyProtection="1">
      <protection locked="0"/>
    </xf>
    <xf numFmtId="10" fontId="0" fillId="3" borderId="1" xfId="0" applyNumberFormat="1" applyFill="1" applyBorder="1" applyProtection="1">
      <protection locked="0"/>
    </xf>
    <xf numFmtId="4" fontId="0" fillId="2" borderId="1" xfId="0" applyNumberFormat="1" applyFill="1" applyBorder="1"/>
    <xf numFmtId="165" fontId="0" fillId="2" borderId="1" xfId="0" applyNumberFormat="1" applyFill="1" applyBorder="1"/>
    <xf numFmtId="3" fontId="0" fillId="2" borderId="1" xfId="0" applyNumberFormat="1" applyFill="1" applyBorder="1"/>
    <xf numFmtId="166" fontId="0" fillId="2" borderId="1" xfId="0" applyNumberFormat="1" applyFill="1" applyBorder="1"/>
    <xf numFmtId="165" fontId="4" fillId="6" borderId="1" xfId="0" applyNumberFormat="1" applyFont="1" applyFill="1" applyBorder="1"/>
    <xf numFmtId="0" fontId="4" fillId="6" borderId="1" xfId="0" applyFont="1" applyFill="1" applyBorder="1"/>
    <xf numFmtId="0" fontId="5" fillId="7" borderId="1" xfId="0" applyFont="1" applyFill="1" applyBorder="1" applyAlignment="1">
      <alignment wrapText="1" vertical="center"/>
    </xf>
    <xf numFmtId="165" fontId="0" fillId="3" borderId="1" xfId="0" applyNumberFormat="1" applyFill="1" applyBorder="1" applyProtection="1">
      <protection locked="0"/>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0F766E"/>
  </sheetPr>
  <sheetViews>
    <sheetView workbookViewId="0" tabSelected="1"/>
  </sheetViews>
  <sheetFormatPr defaultRowHeight="15"/>
  <cols>
    <col min="1" max="1" width="120" customWidth="1"/>
  </cols>
  <sheetData>
    <row r="1">
      <c r="A1" s="1" t="inlineStr">
        <is>
          <t xml:space="preserve">How to use this template</t>
        </is>
      </c>
    </row>
    <row r="2">
      <c r="A2" s="9"/>
    </row>
    <row r="3">
      <c r="A3" s="9" t="inlineStr">
        <is>
          <t xml:space="preserve">1. Setup — your currency, the exchange rates you will pay (1 unit of the other currency = how many of yours), whether duty is charged on goods plus freight, and your current supplier.</t>
        </is>
      </c>
    </row>
    <row r="4">
      <c r="A4" s="9" t="inlineStr">
        <is>
          <t xml:space="preserve">2. Lines — what you need: one row per item with the quantity you need.</t>
        </is>
      </c>
    </row>
    <row r="5">
      <c r="A5" s="9" t="inlineStr">
        <is>
          <t xml:space="preserve">3. Suppliers — one row per supplier: currency, freight per order, a free-freight threshold if it has one, other charges per order, Incoterms and payment terms.</t>
        </is>
      </c>
    </row>
    <row r="6">
      <c r="A6" s="9" t="inlineStr">
        <is>
          <t xml:space="preserve">4. Quotes — one row per supplier per line: minimum order, order multiple, up to four price breaks (quantity from which the price applies, lowest first), duty rate, lead time.</t>
        </is>
      </c>
    </row>
    <row r="7">
      <c r="A7" s="9" t="inlineStr">
        <is>
          <t xml:space="preserve">5. Compare — the offers per line, ranked by landed cost per unit you need, and each supplier's coverage.</t>
        </is>
      </c>
    </row>
    <row r="8">
      <c r="A8" s="9" t="inlineStr">
        <is>
          <t xml:space="preserve">6. Award — choose a supplier per line. Freight and charges are split again over the lines you actually buy from each supplier, and the total is compared with your current supplier.</t>
        </is>
      </c>
    </row>
    <row r="9">
      <c r="A9" s="9"/>
    </row>
    <row r="10">
      <c r="A10" s="9" t="inlineStr">
        <is>
          <t xml:space="preserve">Only the yellow cells are yours to fill in. Grey cells are calculated. The example (three lines, four suppliers) shows how it works — replace it with your own quotes.</t>
        </is>
      </c>
    </row>
    <row r="11">
      <c r="A11" s="9"/>
    </row>
    <row r="12">
      <c r="A12" s="2" t="inlineStr">
        <is>
          <t xml:space="preserve">How the numbers are worked out</t>
        </is>
      </c>
    </row>
    <row r="13">
      <c r="A13" s="9" t="inlineStr">
        <is>
          <t xml:space="preserve">• Order quantity: what you need, raised to the minimum order and to the first price break, then rounded up to the order multiple.</t>
        </is>
      </c>
    </row>
    <row r="14">
      <c r="A14" s="9" t="inlineStr">
        <is>
          <t xml:space="preserve">• Unit price: the price break the order quantity reaches.</t>
        </is>
      </c>
    </row>
    <row r="15">
      <c r="A15" s="9" t="inlineStr">
        <is>
          <t xml:space="preserve">• Freight: per order, free when the goods reach the supplier's free-freight threshold; with other per-order charges it is split over that supplier's lines by value.</t>
        </is>
      </c>
    </row>
    <row r="16">
      <c r="A16" s="9" t="inlineStr">
        <is>
          <t xml:space="preserve">• Duty: the rate on the line's goods, or on goods plus its share of freight if you choose that in Setup (as in the EU; the US generally excludes international freight).</t>
        </is>
      </c>
    </row>
    <row r="17">
      <c r="A17" s="9" t="inlineStr">
        <is>
          <t xml:space="preserve">• Landed cost per unit needed: everything you pay for the line divided by the quantity you need. Surplus bought to reach a minimum or a multiple is paid by the units you need.</t>
        </is>
      </c>
    </row>
    <row r="18">
      <c r="A18" s="9" t="inlineStr">
        <is>
          <t xml:space="preserve">• Exchange rates: only the rates you enter. An offer in a currency without a rate is left out and marked, never converted with a guessed rate.</t>
        </is>
      </c>
    </row>
    <row r="19">
      <c r="A19" s="9" t="inlineStr">
        <is>
          <t xml:space="preserve">• A cheaper larger order (the next price break) is shown as a tip on Quotes, never applied.</t>
        </is>
      </c>
    </row>
    <row r="20">
      <c r="A20" s="9"/>
    </row>
    <row r="21">
      <c r="A21" s="2" t="inlineStr">
        <is>
          <t xml:space="preserve">Why Award can differ from Compare</t>
        </is>
      </c>
    </row>
    <row r="22">
      <c r="A22" s="9" t="inlineStr">
        <is>
          <t xml:space="preserve">Compare spreads each supplier's freight over every line it quoted. When you buy only some lines from a supplier, its freight falls on fewer lines, and a free-freight threshold may no longer be reached. Award recalculates that. In the example, buying each line from its cheapest offer costs 1,389.00 — and buying the junction boxes from Allied Controls as well costs 1,376.00, because Carter Supply's freight then disappears.</t>
        </is>
      </c>
    </row>
    <row r="23">
      <c r="A23" s="9"/>
    </row>
    <row r="24">
      <c r="A24" s="9" t="inlineStr">
        <is>
          <t xml:space="preserve">Proceny compares suppliers' own quote files without retyping them, with the same rules and every calculation explained: proceny.com/features/quote-comparison</t>
        </is>
      </c>
    </row>
  </sheetData>
  <pageMargins left="0.5" right="0.5" top="0.6" bottom="0.6" header="0.3" footer="0.3"/>
</worksheet>
</file>

<file path=xl/worksheets/sheet2.xml><?xml version="1.0" encoding="utf-8"?>
<worksheet xmlns="http://schemas.openxmlformats.org/spreadsheetml/2006/main" xmlns:r="http://schemas.openxmlformats.org/officeDocument/2006/relationships">
  <sheetPr/>
  <sheetViews>
    <sheetView workbookViewId="0"/>
  </sheetViews>
  <sheetFormatPr defaultRowHeight="15"/>
  <cols>
    <col min="1" max="1" width="36" customWidth="1"/>
    <col min="2" max="2" width="28" customWidth="1"/>
  </cols>
  <sheetData>
    <row r="1">
      <c r="A1" s="1" t="inlineStr">
        <is>
          <t xml:space="preserve">Setup</t>
        </is>
      </c>
    </row>
    <row r="2">
      <c r="A2" s="8" t="inlineStr">
        <is>
          <t xml:space="preserve">Yellow cells are yours to change.</t>
        </is>
      </c>
    </row>
    <row r="3">
      <c r="A3" s="2" t="inlineStr">
        <is>
          <t xml:space="preserve">Your currency</t>
        </is>
      </c>
      <c r="B3" s="6" t="inlineStr">
        <is>
          <t xml:space="preserve">USD</t>
        </is>
      </c>
    </row>
    <row r="4">
      <c r="A4" s="2" t="inlineStr">
        <is>
          <t xml:space="preserve">Duty on goods plus freight?</t>
        </is>
      </c>
      <c r="B4" s="6" t="inlineStr">
        <is>
          <t xml:space="preserve">No</t>
        </is>
      </c>
    </row>
    <row r="5">
      <c r="A5" s="2" t="inlineStr">
        <is>
          <t xml:space="preserve">Current supplier (for the saving)</t>
        </is>
      </c>
      <c r="B5" s="6" t="inlineStr">
        <is>
          <t xml:space="preserve">Allied Controls</t>
        </is>
      </c>
    </row>
    <row r="7">
      <c r="A7" s="4" t="inlineStr">
        <is>
          <t xml:space="preserve">Currency</t>
        </is>
      </c>
      <c r="B7" s="4" t="inlineStr">
        <is>
          <t xml:space="preserve">1 unit = … of your currency</t>
        </is>
      </c>
    </row>
    <row r="8">
      <c r="A8" s="6" t="inlineStr">
        <is>
          <t xml:space="preserve">EUR</t>
        </is>
      </c>
      <c r="B8" s="12">
        <v>1.08</v>
      </c>
    </row>
    <row r="9">
      <c r="A9" s="6"/>
      <c r="B9" s="12"/>
    </row>
    <row r="10">
      <c r="A10" s="6"/>
      <c r="B10" s="12"/>
    </row>
    <row r="11">
      <c r="A11" s="6"/>
      <c r="B11" s="12"/>
    </row>
    <row r="12">
      <c r="A12" s="6"/>
      <c r="B12" s="12"/>
    </row>
    <row r="13">
      <c r="A13" s="6"/>
      <c r="B13" s="12"/>
    </row>
    <row r="14">
      <c r="A14" s="6"/>
      <c r="B14" s="12"/>
    </row>
    <row r="15">
      <c r="A15" s="6"/>
      <c r="B15" s="12"/>
    </row>
    <row r="16">
      <c r="A16" s="6"/>
      <c r="B16" s="12"/>
    </row>
    <row r="17">
      <c r="A17" s="6"/>
      <c r="B17" s="12"/>
    </row>
  </sheetData>
  <dataValidations count="2">
    <dataValidation type="list" allowBlank="1" showInputMessage="1" showErrorMessage="1" prompt="Yes: duty on goods plus the line's freight (EU-style customs value)." sqref="B4">
      <formula1>"Yes,No"</formula1>
    </dataValidation>
    <dataValidation type="list" errorStyle="warning" allowBlank="1" showInputMessage="1" showErrorMessage="1" prompt="The supplier you buy from today: the saving on Award is measured against it." sqref="B5">
      <formula1>Suppliers!$A$5:$A$12</formula1>
    </dataValidation>
  </dataValidations>
  <pageMargins left="0.5" right="0.5" top="0.6" bottom="0.6" header="0.3" footer="0.3"/>
</worksheet>
</file>

<file path=xl/worksheets/sheet3.xml><?xml version="1.0" encoding="utf-8"?>
<worksheet xmlns="http://schemas.openxmlformats.org/spreadsheetml/2006/main" xmlns:r="http://schemas.openxmlformats.org/officeDocument/2006/relationships">
  <sheetPr/>
  <sheetViews>
    <sheetView workbookViewId="0">
      <pane ySplit="4" topLeftCell="A5" activePane="bottomLeft" state="frozen"/>
      <selection pane="bottomLeft" activeCell="A5" sqref="A5"/>
    </sheetView>
  </sheetViews>
  <sheetFormatPr defaultRowHeight="15"/>
  <cols>
    <col min="1" max="1" width="8" customWidth="1"/>
    <col min="2" max="2" width="22" customWidth="1"/>
    <col min="3" max="3" width="34" customWidth="1"/>
    <col min="4" max="4" width="12" customWidth="1"/>
    <col min="5" max="5" width="8" customWidth="1"/>
  </cols>
  <sheetData>
    <row r="1">
      <c r="A1" s="1" t="inlineStr">
        <is>
          <t xml:space="preserve">Lines</t>
        </is>
      </c>
    </row>
    <row r="2">
      <c r="A2" s="8" t="inlineStr">
        <is>
          <t xml:space="preserve">What you need. Line numbers are how Quotes refers to each line.</t>
        </is>
      </c>
    </row>
    <row r="4">
      <c r="A4" s="5" t="inlineStr">
        <is>
          <t xml:space="preserve">Line</t>
        </is>
      </c>
      <c r="B4" s="5" t="inlineStr">
        <is>
          <t xml:space="preserve">Item / part number</t>
        </is>
      </c>
      <c r="C4" s="5" t="inlineStr">
        <is>
          <t xml:space="preserve">Description</t>
        </is>
      </c>
      <c r="D4" s="5" t="inlineStr">
        <is>
          <t xml:space="preserve">Qty needed</t>
        </is>
      </c>
      <c r="E4" s="5" t="inlineStr">
        <is>
          <t xml:space="preserve">Unit</t>
        </is>
      </c>
    </row>
    <row r="5">
      <c r="A5" s="13">
        <v>1</v>
      </c>
      <c r="B5" s="6" t="inlineStr">
        <is>
          <t xml:space="preserve">TB-4</t>
        </is>
      </c>
      <c r="C5" s="6" t="inlineStr">
        <is>
          <t xml:space="preserve">Terminal block 4 mm²</t>
        </is>
      </c>
      <c r="D5" s="13">
        <v>250</v>
      </c>
      <c r="E5" s="6" t="inlineStr">
        <is>
          <t xml:space="preserve">pcs</t>
        </is>
      </c>
    </row>
    <row r="6">
      <c r="A6" s="13">
        <v>2</v>
      </c>
      <c r="B6" s="6" t="inlineStr">
        <is>
          <t xml:space="preserve">JB-65</t>
        </is>
      </c>
      <c r="C6" s="6" t="inlineStr">
        <is>
          <t xml:space="preserve">Junction box IP65</t>
        </is>
      </c>
      <c r="D6" s="13">
        <v>40</v>
      </c>
      <c r="E6" s="6" t="inlineStr">
        <is>
          <t xml:space="preserve">pcs</t>
        </is>
      </c>
    </row>
    <row r="7">
      <c r="A7" s="13">
        <v>3</v>
      </c>
      <c r="B7" s="6" t="inlineStr">
        <is>
          <t xml:space="preserve">MCB-16</t>
        </is>
      </c>
      <c r="C7" s="6" t="inlineStr">
        <is>
          <t xml:space="preserve">Circuit breaker 16 A</t>
        </is>
      </c>
      <c r="D7" s="13">
        <v>120</v>
      </c>
      <c r="E7" s="6" t="inlineStr">
        <is>
          <t xml:space="preserve">pcs</t>
        </is>
      </c>
    </row>
    <row r="8">
      <c r="A8" s="13"/>
      <c r="B8" s="6"/>
      <c r="C8" s="6"/>
      <c r="D8" s="13"/>
      <c r="E8" s="6"/>
    </row>
    <row r="9">
      <c r="A9" s="13"/>
      <c r="B9" s="6"/>
      <c r="C9" s="6"/>
      <c r="D9" s="13"/>
      <c r="E9" s="6"/>
    </row>
    <row r="10">
      <c r="A10" s="13"/>
      <c r="B10" s="6"/>
      <c r="C10" s="6"/>
      <c r="D10" s="13"/>
      <c r="E10" s="6"/>
    </row>
    <row r="11">
      <c r="A11" s="13"/>
      <c r="B11" s="6"/>
      <c r="C11" s="6"/>
      <c r="D11" s="13"/>
      <c r="E11" s="6"/>
    </row>
    <row r="12">
      <c r="A12" s="13"/>
      <c r="B12" s="6"/>
      <c r="C12" s="6"/>
      <c r="D12" s="13"/>
      <c r="E12" s="6"/>
    </row>
    <row r="13">
      <c r="A13" s="13"/>
      <c r="B13" s="6"/>
      <c r="C13" s="6"/>
      <c r="D13" s="13"/>
      <c r="E13" s="6"/>
    </row>
    <row r="14">
      <c r="A14" s="13"/>
      <c r="B14" s="6"/>
      <c r="C14" s="6"/>
      <c r="D14" s="13"/>
      <c r="E14" s="6"/>
    </row>
    <row r="15">
      <c r="A15" s="13"/>
      <c r="B15" s="6"/>
      <c r="C15" s="6"/>
      <c r="D15" s="13"/>
      <c r="E15" s="6"/>
    </row>
    <row r="16">
      <c r="A16" s="13"/>
      <c r="B16" s="6"/>
      <c r="C16" s="6"/>
      <c r="D16" s="13"/>
      <c r="E16" s="6"/>
    </row>
    <row r="17">
      <c r="A17" s="13"/>
      <c r="B17" s="6"/>
      <c r="C17" s="6"/>
      <c r="D17" s="13"/>
      <c r="E17" s="6"/>
    </row>
    <row r="18">
      <c r="A18" s="13"/>
      <c r="B18" s="6"/>
      <c r="C18" s="6"/>
      <c r="D18" s="13"/>
      <c r="E18" s="6"/>
    </row>
    <row r="19">
      <c r="A19" s="13"/>
      <c r="B19" s="6"/>
      <c r="C19" s="6"/>
      <c r="D19" s="13"/>
      <c r="E19" s="6"/>
    </row>
    <row r="20">
      <c r="A20" s="13"/>
      <c r="B20" s="6"/>
      <c r="C20" s="6"/>
      <c r="D20" s="13"/>
      <c r="E20" s="6"/>
    </row>
    <row r="21">
      <c r="A21" s="13"/>
      <c r="B21" s="6"/>
      <c r="C21" s="6"/>
      <c r="D21" s="13"/>
      <c r="E21" s="6"/>
    </row>
    <row r="22">
      <c r="A22" s="13"/>
      <c r="B22" s="6"/>
      <c r="C22" s="6"/>
      <c r="D22" s="13"/>
      <c r="E22" s="6"/>
    </row>
    <row r="23">
      <c r="A23" s="13"/>
      <c r="B23" s="6"/>
      <c r="C23" s="6"/>
      <c r="D23" s="13"/>
      <c r="E23" s="6"/>
    </row>
    <row r="24">
      <c r="A24" s="13"/>
      <c r="B24" s="6"/>
      <c r="C24" s="6"/>
      <c r="D24" s="13"/>
      <c r="E24" s="6"/>
    </row>
    <row r="25">
      <c r="A25" s="13"/>
      <c r="B25" s="6"/>
      <c r="C25" s="6"/>
      <c r="D25" s="13"/>
      <c r="E25" s="6"/>
    </row>
    <row r="26">
      <c r="A26" s="13"/>
      <c r="B26" s="6"/>
      <c r="C26" s="6"/>
      <c r="D26" s="13"/>
      <c r="E26" s="6"/>
    </row>
    <row r="27">
      <c r="A27" s="13"/>
      <c r="B27" s="6"/>
      <c r="C27" s="6"/>
      <c r="D27" s="13"/>
      <c r="E27" s="6"/>
    </row>
    <row r="28">
      <c r="A28" s="13"/>
      <c r="B28" s="6"/>
      <c r="C28" s="6"/>
      <c r="D28" s="13"/>
      <c r="E28" s="6"/>
    </row>
    <row r="29">
      <c r="A29" s="13"/>
      <c r="B29" s="6"/>
      <c r="C29" s="6"/>
      <c r="D29" s="13"/>
      <c r="E29" s="6"/>
    </row>
    <row r="30">
      <c r="A30" s="13"/>
      <c r="B30" s="6"/>
      <c r="C30" s="6"/>
      <c r="D30" s="13"/>
      <c r="E30" s="6"/>
    </row>
    <row r="31">
      <c r="A31" s="13"/>
      <c r="B31" s="6"/>
      <c r="C31" s="6"/>
      <c r="D31" s="13"/>
      <c r="E31" s="6"/>
    </row>
    <row r="32">
      <c r="A32" s="13"/>
      <c r="B32" s="6"/>
      <c r="C32" s="6"/>
      <c r="D32" s="13"/>
      <c r="E32" s="6"/>
    </row>
    <row r="33">
      <c r="A33" s="13"/>
      <c r="B33" s="6"/>
      <c r="C33" s="6"/>
      <c r="D33" s="13"/>
      <c r="E33" s="6"/>
    </row>
    <row r="34">
      <c r="A34" s="13"/>
      <c r="B34" s="6"/>
      <c r="C34" s="6"/>
      <c r="D34" s="13"/>
      <c r="E34" s="6"/>
    </row>
  </sheetData>
  <pageMargins left="0.5" right="0.5" top="0.6" bottom="0.6" header="0.3" footer="0.3"/>
</worksheet>
</file>

<file path=xl/worksheets/sheet4.xml><?xml version="1.0" encoding="utf-8"?>
<worksheet xmlns="http://schemas.openxmlformats.org/spreadsheetml/2006/main" xmlns:r="http://schemas.openxmlformats.org/officeDocument/2006/relationships">
  <sheetPr/>
  <sheetViews>
    <sheetView workbookViewId="0">
      <pane xSplit="1" ySplit="4" topLeftCell="B5" activePane="bottomRight" state="frozen"/>
      <selection pane="bottomRight" activeCell="B5" sqref="B5"/>
    </sheetView>
  </sheetViews>
  <sheetFormatPr defaultRowHeight="15"/>
  <cols>
    <col min="1" max="1" width="20" customWidth="1"/>
    <col min="2" max="2" width="10" customWidth="1"/>
    <col min="3" max="3" width="12" customWidth="1"/>
    <col min="4" max="4" width="16" customWidth="1"/>
    <col min="5" max="5" width="14" customWidth="1"/>
    <col min="6" max="6" width="11" customWidth="1"/>
    <col min="7" max="7" width="13" customWidth="1"/>
    <col min="8" max="8" width="30" customWidth="1"/>
    <col min="9" max="9" width="14" customWidth="1"/>
    <col min="10" max="10" width="14" customWidth="1"/>
    <col min="11" max="11" width="14" customWidth="1"/>
    <col min="12" max="12" width="14" customWidth="1"/>
    <col min="13" max="13" width="14" customWidth="1"/>
    <col min="14" max="14" width="14" customWidth="1"/>
  </cols>
  <sheetData>
    <row r="1">
      <c r="A1" s="1" t="inlineStr">
        <is>
          <t xml:space="preserve">Suppliers</t>
        </is>
      </c>
    </row>
    <row r="2">
      <c r="A2" s="8" t="inlineStr">
        <is>
          <t xml:space="preserve">Amounts in each supplier's own currency. Leave the free-freight cell empty if there is none.</t>
        </is>
      </c>
    </row>
    <row r="4" ht="32" customHeight="1">
      <c r="A4" s="5" t="inlineStr">
        <is>
          <t xml:space="preserve">Supplier</t>
        </is>
      </c>
      <c r="B4" s="5" t="inlineStr">
        <is>
          <t xml:space="preserve">Currency</t>
        </is>
      </c>
      <c r="C4" s="5" t="inlineStr">
        <is>
          <t xml:space="preserve">Freight per order</t>
        </is>
      </c>
      <c r="D4" s="5" t="inlineStr">
        <is>
          <t xml:space="preserve">Free freight from (goods value)</t>
        </is>
      </c>
      <c r="E4" s="5" t="inlineStr">
        <is>
          <t xml:space="preserve">Other charges per order</t>
        </is>
      </c>
      <c r="F4" s="5" t="inlineStr">
        <is>
          <t xml:space="preserve">Incoterms</t>
        </is>
      </c>
      <c r="G4" s="5" t="inlineStr">
        <is>
          <t xml:space="preserve">Payment terms</t>
        </is>
      </c>
      <c r="H4" s="5" t="inlineStr">
        <is>
          <t xml:space="preserve">Notes</t>
        </is>
      </c>
      <c r="I4" s="4" t="inlineStr">
        <is>
          <t xml:space="preserve">Goods, all quoted lines</t>
        </is>
      </c>
      <c r="J4" s="4" t="inlineStr">
        <is>
          <t xml:space="preserve">Freight, all quoted lines</t>
        </is>
      </c>
      <c r="K4" s="4" t="inlineStr">
        <is>
          <t xml:space="preserve">Charges, all quoted lines</t>
        </is>
      </c>
      <c r="L4" s="4" t="inlineStr">
        <is>
          <t xml:space="preserve">Goods awarded</t>
        </is>
      </c>
      <c r="M4" s="4" t="inlineStr">
        <is>
          <t xml:space="preserve">Freight on award</t>
        </is>
      </c>
      <c r="N4" s="4" t="inlineStr">
        <is>
          <t xml:space="preserve">Charges on award</t>
        </is>
      </c>
    </row>
    <row r="5">
      <c r="A5" s="6" t="inlineStr">
        <is>
          <t xml:space="preserve">Allied Controls</t>
        </is>
      </c>
      <c r="B5" s="6" t="inlineStr">
        <is>
          <t xml:space="preserve">USD</t>
        </is>
      </c>
      <c r="C5" s="12">
        <v>35</v>
      </c>
      <c r="D5" s="12"/>
      <c r="E5" s="12"/>
      <c r="F5" s="6" t="inlineStr">
        <is>
          <t xml:space="preserve">FCA</t>
        </is>
      </c>
      <c r="G5" s="6" t="inlineStr">
        <is>
          <t xml:space="preserve">Net 30</t>
        </is>
      </c>
      <c r="H5" s="6" t="inlineStr">
        <is>
          <t xml:space="preserve">Current supplier</t>
        </is>
      </c>
      <c r="I5" s="15">
        <f>IF($A5="","",SUMIFS(Quotes!$V$5:$V$84,Quotes!$B$5:$B$84,$A5))</f>
      </c>
      <c r="J5" s="15">
        <f>IF($A5="","",IF(N($I5)=0,0,IF(AND(N($D5)&gt;0,$I5&gt;=$D5),0,N($C5))))</f>
      </c>
      <c r="K5" s="15">
        <f>IF($A5="","",IF(N($I5)=0,0,$J5+N($E5)))</f>
      </c>
      <c r="L5" s="15">
        <f>IF($A5="","",SUMIFS(Quotes!$V$5:$V$84,Quotes!$B$5:$B$84,$A5,Quotes!$AK$5:$AK$84,1))</f>
      </c>
      <c r="M5" s="15">
        <f>IF($A5="","",IF(N($L5)=0,0,IF(AND(N($D5)&gt;0,$L5&gt;=$D5),0,N($C5))))</f>
      </c>
      <c r="N5" s="15">
        <f>IF($A5="","",IF(N($L5)=0,0,$M5+N($E5)))</f>
      </c>
    </row>
    <row r="6">
      <c r="A6" s="6" t="inlineStr">
        <is>
          <t xml:space="preserve">Bolt Industrial</t>
        </is>
      </c>
      <c r="B6" s="6" t="inlineStr">
        <is>
          <t xml:space="preserve">USD</t>
        </is>
      </c>
      <c r="C6" s="12">
        <v>0</v>
      </c>
      <c r="D6" s="12"/>
      <c r="E6" s="12"/>
      <c r="F6" s="6" t="inlineStr">
        <is>
          <t xml:space="preserve">DAP</t>
        </is>
      </c>
      <c r="G6" s="6" t="inlineStr">
        <is>
          <t xml:space="preserve">Net 30</t>
        </is>
      </c>
      <c r="H6" s="6"/>
      <c r="I6" s="15">
        <f>IF($A6="","",SUMIFS(Quotes!$V$5:$V$84,Quotes!$B$5:$B$84,$A6))</f>
      </c>
      <c r="J6" s="15">
        <f>IF($A6="","",IF(N($I6)=0,0,IF(AND(N($D6)&gt;0,$I6&gt;=$D6),0,N($C6))))</f>
      </c>
      <c r="K6" s="15">
        <f>IF($A6="","",IF(N($I6)=0,0,$J6+N($E6)))</f>
      </c>
      <c r="L6" s="15">
        <f>IF($A6="","",SUMIFS(Quotes!$V$5:$V$84,Quotes!$B$5:$B$84,$A6,Quotes!$AK$5:$AK$84,1))</f>
      </c>
      <c r="M6" s="15">
        <f>IF($A6="","",IF(N($L6)=0,0,IF(AND(N($D6)&gt;0,$L6&gt;=$D6),0,N($C6))))</f>
      </c>
      <c r="N6" s="15">
        <f>IF($A6="","",IF(N($L6)=0,0,$M6+N($E6)))</f>
      </c>
    </row>
    <row r="7">
      <c r="A7" s="6" t="inlineStr">
        <is>
          <t xml:space="preserve">Carter Supply</t>
        </is>
      </c>
      <c r="B7" s="6" t="inlineStr">
        <is>
          <t xml:space="preserve">USD</t>
        </is>
      </c>
      <c r="C7" s="12">
        <v>25</v>
      </c>
      <c r="D7" s="12">
        <v>500</v>
      </c>
      <c r="E7" s="12"/>
      <c r="F7" s="6" t="inlineStr">
        <is>
          <t xml:space="preserve">DAP</t>
        </is>
      </c>
      <c r="G7" s="6" t="inlineStr">
        <is>
          <t xml:space="preserve">Net 45</t>
        </is>
      </c>
      <c r="H7" s="6" t="inlineStr">
        <is>
          <t xml:space="preserve">Free freight from 500.00</t>
        </is>
      </c>
      <c r="I7" s="15">
        <f>IF($A7="","",SUMIFS(Quotes!$V$5:$V$84,Quotes!$B$5:$B$84,$A7))</f>
      </c>
      <c r="J7" s="15">
        <f>IF($A7="","",IF(N($I7)=0,0,IF(AND(N($D7)&gt;0,$I7&gt;=$D7),0,N($C7))))</f>
      </c>
      <c r="K7" s="15">
        <f>IF($A7="","",IF(N($I7)=0,0,$J7+N($E7)))</f>
      </c>
      <c r="L7" s="15">
        <f>IF($A7="","",SUMIFS(Quotes!$V$5:$V$84,Quotes!$B$5:$B$84,$A7,Quotes!$AK$5:$AK$84,1))</f>
      </c>
      <c r="M7" s="15">
        <f>IF($A7="","",IF(N($L7)=0,0,IF(AND(N($D7)&gt;0,$L7&gt;=$D7),0,N($C7))))</f>
      </c>
      <c r="N7" s="15">
        <f>IF($A7="","",IF(N($L7)=0,0,$M7+N($E7)))</f>
      </c>
    </row>
    <row r="8">
      <c r="A8" s="6" t="inlineStr">
        <is>
          <t xml:space="preserve">Europa Elektro</t>
        </is>
      </c>
      <c r="B8" s="6" t="inlineStr">
        <is>
          <t xml:space="preserve">EUR</t>
        </is>
      </c>
      <c r="C8" s="12">
        <v>60</v>
      </c>
      <c r="D8" s="12"/>
      <c r="E8" s="12">
        <v>15</v>
      </c>
      <c r="F8" s="6" t="inlineStr">
        <is>
          <t xml:space="preserve">FCA</t>
        </is>
      </c>
      <c r="G8" s="6" t="inlineStr">
        <is>
          <t xml:space="preserve">Net 30</t>
        </is>
      </c>
      <c r="H8" s="6" t="inlineStr">
        <is>
          <t xml:space="preserve">Other charges: customs clearance</t>
        </is>
      </c>
      <c r="I8" s="15">
        <f>IF($A8="","",SUMIFS(Quotes!$V$5:$V$84,Quotes!$B$5:$B$84,$A8))</f>
      </c>
      <c r="J8" s="15">
        <f>IF($A8="","",IF(N($I8)=0,0,IF(AND(N($D8)&gt;0,$I8&gt;=$D8),0,N($C8))))</f>
      </c>
      <c r="K8" s="15">
        <f>IF($A8="","",IF(N($I8)=0,0,$J8+N($E8)))</f>
      </c>
      <c r="L8" s="15">
        <f>IF($A8="","",SUMIFS(Quotes!$V$5:$V$84,Quotes!$B$5:$B$84,$A8,Quotes!$AK$5:$AK$84,1))</f>
      </c>
      <c r="M8" s="15">
        <f>IF($A8="","",IF(N($L8)=0,0,IF(AND(N($D8)&gt;0,$L8&gt;=$D8),0,N($C8))))</f>
      </c>
      <c r="N8" s="15">
        <f>IF($A8="","",IF(N($L8)=0,0,$M8+N($E8)))</f>
      </c>
    </row>
    <row r="9">
      <c r="A9" s="6"/>
      <c r="B9" s="6"/>
      <c r="C9" s="12"/>
      <c r="D9" s="12"/>
      <c r="E9" s="12"/>
      <c r="F9" s="6"/>
      <c r="G9" s="6"/>
      <c r="H9" s="6"/>
      <c r="I9" s="15">
        <f>IF($A9="","",SUMIFS(Quotes!$V$5:$V$84,Quotes!$B$5:$B$84,$A9))</f>
      </c>
      <c r="J9" s="15">
        <f>IF($A9="","",IF(N($I9)=0,0,IF(AND(N($D9)&gt;0,$I9&gt;=$D9),0,N($C9))))</f>
      </c>
      <c r="K9" s="15">
        <f>IF($A9="","",IF(N($I9)=0,0,$J9+N($E9)))</f>
      </c>
      <c r="L9" s="15">
        <f>IF($A9="","",SUMIFS(Quotes!$V$5:$V$84,Quotes!$B$5:$B$84,$A9,Quotes!$AK$5:$AK$84,1))</f>
      </c>
      <c r="M9" s="15">
        <f>IF($A9="","",IF(N($L9)=0,0,IF(AND(N($D9)&gt;0,$L9&gt;=$D9),0,N($C9))))</f>
      </c>
      <c r="N9" s="15">
        <f>IF($A9="","",IF(N($L9)=0,0,$M9+N($E9)))</f>
      </c>
    </row>
    <row r="10">
      <c r="A10" s="6"/>
      <c r="B10" s="6"/>
      <c r="C10" s="12"/>
      <c r="D10" s="12"/>
      <c r="E10" s="12"/>
      <c r="F10" s="6"/>
      <c r="G10" s="6"/>
      <c r="H10" s="6"/>
      <c r="I10" s="15">
        <f>IF($A10="","",SUMIFS(Quotes!$V$5:$V$84,Quotes!$B$5:$B$84,$A10))</f>
      </c>
      <c r="J10" s="15">
        <f>IF($A10="","",IF(N($I10)=0,0,IF(AND(N($D10)&gt;0,$I10&gt;=$D10),0,N($C10))))</f>
      </c>
      <c r="K10" s="15">
        <f>IF($A10="","",IF(N($I10)=0,0,$J10+N($E10)))</f>
      </c>
      <c r="L10" s="15">
        <f>IF($A10="","",SUMIFS(Quotes!$V$5:$V$84,Quotes!$B$5:$B$84,$A10,Quotes!$AK$5:$AK$84,1))</f>
      </c>
      <c r="M10" s="15">
        <f>IF($A10="","",IF(N($L10)=0,0,IF(AND(N($D10)&gt;0,$L10&gt;=$D10),0,N($C10))))</f>
      </c>
      <c r="N10" s="15">
        <f>IF($A10="","",IF(N($L10)=0,0,$M10+N($E10)))</f>
      </c>
    </row>
    <row r="11">
      <c r="A11" s="6"/>
      <c r="B11" s="6"/>
      <c r="C11" s="12"/>
      <c r="D11" s="12"/>
      <c r="E11" s="12"/>
      <c r="F11" s="6"/>
      <c r="G11" s="6"/>
      <c r="H11" s="6"/>
      <c r="I11" s="15">
        <f>IF($A11="","",SUMIFS(Quotes!$V$5:$V$84,Quotes!$B$5:$B$84,$A11))</f>
      </c>
      <c r="J11" s="15">
        <f>IF($A11="","",IF(N($I11)=0,0,IF(AND(N($D11)&gt;0,$I11&gt;=$D11),0,N($C11))))</f>
      </c>
      <c r="K11" s="15">
        <f>IF($A11="","",IF(N($I11)=0,0,$J11+N($E11)))</f>
      </c>
      <c r="L11" s="15">
        <f>IF($A11="","",SUMIFS(Quotes!$V$5:$V$84,Quotes!$B$5:$B$84,$A11,Quotes!$AK$5:$AK$84,1))</f>
      </c>
      <c r="M11" s="15">
        <f>IF($A11="","",IF(N($L11)=0,0,IF(AND(N($D11)&gt;0,$L11&gt;=$D11),0,N($C11))))</f>
      </c>
      <c r="N11" s="15">
        <f>IF($A11="","",IF(N($L11)=0,0,$M11+N($E11)))</f>
      </c>
    </row>
    <row r="12">
      <c r="A12" s="6"/>
      <c r="B12" s="6"/>
      <c r="C12" s="12"/>
      <c r="D12" s="12"/>
      <c r="E12" s="12"/>
      <c r="F12" s="6"/>
      <c r="G12" s="6"/>
      <c r="H12" s="6"/>
      <c r="I12" s="15">
        <f>IF($A12="","",SUMIFS(Quotes!$V$5:$V$84,Quotes!$B$5:$B$84,$A12))</f>
      </c>
      <c r="J12" s="15">
        <f>IF($A12="","",IF(N($I12)=0,0,IF(AND(N($D12)&gt;0,$I12&gt;=$D12),0,N($C12))))</f>
      </c>
      <c r="K12" s="15">
        <f>IF($A12="","",IF(N($I12)=0,0,$J12+N($E12)))</f>
      </c>
      <c r="L12" s="15">
        <f>IF($A12="","",SUMIFS(Quotes!$V$5:$V$84,Quotes!$B$5:$B$84,$A12,Quotes!$AK$5:$AK$84,1))</f>
      </c>
      <c r="M12" s="15">
        <f>IF($A12="","",IF(N($L12)=0,0,IF(AND(N($D12)&gt;0,$L12&gt;=$D12),0,N($C12))))</f>
      </c>
      <c r="N12" s="15">
        <f>IF($A12="","",IF(N($L12)=0,0,$M12+N($E12)))</f>
      </c>
    </row>
  </sheetData>
  <dataValidations count="1">
    <dataValidation type="decimal" operator="greaterThanOrEqual" errorStyle="warning" allowBlank="1" showInputMessage="1" showErrorMessage="1" error="Enter an amount of 0 or more." sqref="C5:E12">
      <formula1>0</formula1>
    </dataValidation>
  </dataValidations>
  <pageMargins left="0.5" right="0.5" top="0.6" bottom="0.6" header="0.3" footer="0.3"/>
</worksheet>
</file>

<file path=xl/worksheets/sheet5.xml><?xml version="1.0" encoding="utf-8"?>
<worksheet xmlns="http://schemas.openxmlformats.org/spreadsheetml/2006/main" xmlns:r="http://schemas.openxmlformats.org/officeDocument/2006/relationships">
  <sheetPr/>
  <sheetViews>
    <sheetView workbookViewId="0">
      <pane xSplit="2" ySplit="4" topLeftCell="C5" activePane="bottomRight" state="frozen"/>
      <selection pane="bottomRight" activeCell="C5" sqref="C5"/>
    </sheetView>
  </sheetViews>
  <sheetFormatPr defaultRowHeight="15"/>
  <cols>
    <col min="1" max="1" width="6" customWidth="1"/>
    <col min="2" max="2" width="18" customWidth="1"/>
    <col min="3" max="3" width="9" customWidth="1"/>
    <col min="4" max="4" width="9" customWidth="1"/>
    <col min="5" max="5" width="9" customWidth="1"/>
    <col min="6" max="6" width="9" customWidth="1"/>
    <col min="7" max="7" width="9" customWidth="1"/>
    <col min="8" max="8" width="9" customWidth="1"/>
    <col min="9" max="9" width="9" customWidth="1"/>
    <col min="10" max="10" width="9" customWidth="1"/>
    <col min="11" max="11" width="9" customWidth="1"/>
    <col min="12" max="12" width="9" customWidth="1"/>
    <col min="13" max="13" width="8" customWidth="1"/>
    <col min="14" max="14" width="9" customWidth="1"/>
    <col min="15" max="15" width="11" customWidth="1"/>
    <col min="16" max="16" width="18" customWidth="1"/>
    <col min="17" max="17" width="12" customWidth="1"/>
    <col min="18" max="18" width="9" customWidth="1"/>
    <col min="19" max="19" width="9" customWidth="1"/>
    <col min="20" max="20" width="9" customWidth="1"/>
    <col min="21" max="21" width="10" customWidth="1"/>
    <col min="22" max="22" width="11" customWidth="1"/>
    <col min="23" max="23" width="10" customWidth="1"/>
    <col min="24" max="24" width="12" customWidth="1"/>
    <col min="25" max="25" width="10" customWidth="1"/>
    <col min="26" max="26" width="12" customWidth="1"/>
    <col min="27" max="27" width="12" customWidth="1"/>
    <col min="28" max="28" width="12" customWidth="1"/>
    <col min="29" max="29" width="8" customWidth="1"/>
    <col min="30" max="30" width="26" customWidth="1"/>
    <col min="31" max="31" width="7" customWidth="1"/>
    <col min="32" max="32" width="6" customWidth="1"/>
    <col min="33" max="33" width="9" customWidth="1"/>
    <col min="34" max="34" width="11" customWidth="1"/>
    <col min="35" max="35" width="30" customWidth="1"/>
    <col min="36" max="36" width="6" customWidth="1"/>
    <col min="37" max="37" width="8" customWidth="1"/>
    <col min="38" max="38" width="12" customWidth="1"/>
    <col min="39" max="39" width="10" customWidth="1"/>
    <col min="40" max="40" width="12" customWidth="1"/>
  </cols>
  <sheetData>
    <row r="1">
      <c r="A1" s="1" t="inlineStr">
        <is>
          <t xml:space="preserve">Quotes</t>
        </is>
      </c>
    </row>
    <row r="2">
      <c r="A2" s="8" t="inlineStr">
        <is>
          <t xml:space="preserve">One row per supplier per line. Price breaks: the quantity from which each price applies, lowest first. Prices in the supplier's currency. Columns Q onwards are calculated.</t>
        </is>
      </c>
    </row>
    <row r="4" ht="45" customHeight="1">
      <c r="A4" s="5" t="inlineStr">
        <is>
          <t xml:space="preserve">Line</t>
        </is>
      </c>
      <c r="B4" s="5" t="inlineStr">
        <is>
          <t xml:space="preserve">Supplier</t>
        </is>
      </c>
      <c r="C4" s="5" t="inlineStr">
        <is>
          <t xml:space="preserve">Minimum order</t>
        </is>
      </c>
      <c r="D4" s="5" t="inlineStr">
        <is>
          <t xml:space="preserve">Order multiple</t>
        </is>
      </c>
      <c r="E4" s="5" t="inlineStr">
        <is>
          <t xml:space="preserve">Break 1 from qty</t>
        </is>
      </c>
      <c r="F4" s="5" t="inlineStr">
        <is>
          <t xml:space="preserve">Break 1 price</t>
        </is>
      </c>
      <c r="G4" s="5" t="inlineStr">
        <is>
          <t xml:space="preserve">Break 2 from qty</t>
        </is>
      </c>
      <c r="H4" s="5" t="inlineStr">
        <is>
          <t xml:space="preserve">Break 2 price</t>
        </is>
      </c>
      <c r="I4" s="5" t="inlineStr">
        <is>
          <t xml:space="preserve">Break 3 from qty</t>
        </is>
      </c>
      <c r="J4" s="5" t="inlineStr">
        <is>
          <t xml:space="preserve">Break 3 price</t>
        </is>
      </c>
      <c r="K4" s="5" t="inlineStr">
        <is>
          <t xml:space="preserve">Break 4 from qty</t>
        </is>
      </c>
      <c r="L4" s="5" t="inlineStr">
        <is>
          <t xml:space="preserve">Break 4 price</t>
        </is>
      </c>
      <c r="M4" s="5" t="inlineStr">
        <is>
          <t xml:space="preserve">Duty rate</t>
        </is>
      </c>
      <c r="N4" s="5" t="inlineStr">
        <is>
          <t xml:space="preserve">Lead time (days)</t>
        </is>
      </c>
      <c r="O4" s="5" t="inlineStr">
        <is>
          <t xml:space="preserve">Valid until</t>
        </is>
      </c>
      <c r="P4" s="5" t="inlineStr">
        <is>
          <t xml:space="preserve">Notes</t>
        </is>
      </c>
      <c r="Q4" s="4" t="inlineStr">
        <is>
          <t xml:space="preserve">Item</t>
        </is>
      </c>
      <c r="R4" s="4" t="inlineStr">
        <is>
          <t xml:space="preserve">Qty needed</t>
        </is>
      </c>
      <c r="S4" s="4" t="inlineStr">
        <is>
          <t xml:space="preserve">Currency</t>
        </is>
      </c>
      <c r="T4" s="4" t="inlineStr">
        <is>
          <t xml:space="preserve">Order qty</t>
        </is>
      </c>
      <c r="U4" s="4" t="inlineStr">
        <is>
          <t xml:space="preserve">Unit price</t>
        </is>
      </c>
      <c r="V4" s="4" t="inlineStr">
        <is>
          <t xml:space="preserve">Goods</t>
        </is>
      </c>
      <c r="W4" s="4" t="inlineStr">
        <is>
          <t xml:space="preserve">Rate to your currency</t>
        </is>
      </c>
      <c r="X4" s="4" t="inlineStr">
        <is>
          <t xml:space="preserve">Freight and charges share</t>
        </is>
      </c>
      <c r="Y4" s="4" t="inlineStr">
        <is>
          <t xml:space="preserve">Duty</t>
        </is>
      </c>
      <c r="Z4" s="4" t="inlineStr">
        <is>
          <t xml:space="preserve">Landed, supplier currency</t>
        </is>
      </c>
      <c r="AA4" s="4" t="inlineStr">
        <is>
          <t xml:space="preserve">Landed, your currency</t>
        </is>
      </c>
      <c r="AB4" s="4" t="inlineStr">
        <is>
          <t xml:space="preserve">Landed per unit needed</t>
        </is>
      </c>
      <c r="AC4" s="4" t="inlineStr">
        <is>
          <t xml:space="preserve">Surplus</t>
        </is>
      </c>
      <c r="AD4" s="4" t="inlineStr">
        <is>
          <t xml:space="preserve">Status</t>
        </is>
      </c>
      <c r="AE4" s="4" t="inlineStr">
        <is>
          <t xml:space="preserve">Rank in line</t>
        </is>
      </c>
      <c r="AF4" s="4" t="inlineStr">
        <is>
          <t xml:space="preserve">Best</t>
        </is>
      </c>
      <c r="AG4" s="4" t="inlineStr">
        <is>
          <t xml:space="preserve">Next break from</t>
        </is>
      </c>
      <c r="AH4" s="4" t="inlineStr">
        <is>
          <t xml:space="preserve">Goods at next break</t>
        </is>
      </c>
      <c r="AI4" s="4" t="inlineStr">
        <is>
          <t xml:space="preserve">Tip</t>
        </is>
      </c>
      <c r="AJ4" s="4" t="inlineStr">
        <is>
          <t xml:space="preserve">Key</t>
        </is>
      </c>
      <c r="AK4" s="4" t="inlineStr">
        <is>
          <t xml:space="preserve">Awarded</t>
        </is>
      </c>
      <c r="AL4" s="4" t="inlineStr">
        <is>
          <t xml:space="preserve">Award: freight and charges share</t>
        </is>
      </c>
      <c r="AM4" s="4" t="inlineStr">
        <is>
          <t xml:space="preserve">Award: duty</t>
        </is>
      </c>
      <c r="AN4" s="4" t="inlineStr">
        <is>
          <t xml:space="preserve">Award: landed, your currency</t>
        </is>
      </c>
    </row>
    <row r="5">
      <c r="A5" s="13">
        <v>1</v>
      </c>
      <c r="B5" s="6" t="inlineStr">
        <is>
          <t xml:space="preserve">Allied Controls</t>
        </is>
      </c>
      <c r="C5" s="13"/>
      <c r="D5" s="13">
        <v>50</v>
      </c>
      <c r="E5" s="13">
        <v>1</v>
      </c>
      <c r="F5" s="22">
        <v>2.4</v>
      </c>
      <c r="G5" s="13">
        <v>100</v>
      </c>
      <c r="H5" s="22">
        <v>2.1</v>
      </c>
      <c r="I5" s="13">
        <v>500</v>
      </c>
      <c r="J5" s="22">
        <v>1.8</v>
      </c>
      <c r="K5" s="13"/>
      <c r="L5" s="22"/>
      <c r="M5" s="14"/>
      <c r="N5" s="13">
        <v>5</v>
      </c>
      <c r="O5" s="7"/>
      <c r="P5" s="6"/>
      <c r="Q5" s="3">
        <f>IF($A5="","",IFERROR(INDEX(Lines!$B$5:$B$34,MATCH($A5,Lines!$A$5:$A$34,0)),"Unknown line"))</f>
      </c>
      <c r="R5" s="17">
        <f>IF($A5="","",IFERROR(INDEX(Lines!$D$5:$D$34,MATCH($A5,Lines!$A$5:$A$34,0)),""))</f>
      </c>
      <c r="S5" s="3">
        <f>IF($B5="","",IFERROR(INDEX(Suppliers!$B$5:$B$12,MATCH($B5,Suppliers!$A$5:$A$12,0))&amp;"",""))</f>
      </c>
      <c r="T5" s="17">
        <f>IF(OR(N($R5)&lt;=0,$F5=""),"",CEILING(MAX($R5,N($C5),N($E5)),IF(N($D5)&gt;0,$D5,1)))</f>
      </c>
      <c r="U5" s="16">
        <f>IF($T5="","",IF(AND($K5&lt;&gt;"",$L5&lt;&gt;"",$T5&gt;=N($K5)),$L5,IF(AND($I5&lt;&gt;"",$J5&lt;&gt;"",$T5&gt;=N($I5)),$J5,IF(AND($G5&lt;&gt;"",$H5&lt;&gt;"",$T5&gt;=N($G5)),$H5,$F5))))</f>
      </c>
      <c r="V5" s="15">
        <f>IF($T5="","",$T5*$U5)</f>
      </c>
      <c r="W5" s="16">
        <f>IF($S5="","",IF($S5=Setup!$B$3,1,IFERROR(IF(N(INDEX(Setup!$B$8:$B$17,MATCH($S5,Setup!$A$8:$A$17,0)))&gt;0,INDEX(Setup!$B$8:$B$17,MATCH($S5,Setup!$A$8:$A$17,0)),""),"")))</f>
      </c>
      <c r="X5" s="15">
        <f>IF($V5="","",IFERROR(INDEX(Suppliers!$K$5:$K$12,MATCH($B5,Suppliers!$A$5:$A$12,0))*$V5/INDEX(Suppliers!$I$5:$I$12,MATCH($B5,Suppliers!$A$5:$A$12,0)),0))</f>
      </c>
      <c r="Y5" s="15">
        <f>IF($V5="","",N($M5)*($V5+IF(Setup!$B$4="Yes",$X5,0)))</f>
      </c>
      <c r="Z5" s="15">
        <f>IF($V5="","",$V5+$X5+$Y5)</f>
      </c>
      <c r="AA5" s="15">
        <f>IF(OR($Z5="",$W5=""),"",$Z5*$W5)</f>
      </c>
      <c r="AB5" s="16">
        <f>IF($AA5="","",$AA5/$R5)</f>
      </c>
      <c r="AC5" s="17">
        <f>IF($T5="","",$T5-$R5)</f>
      </c>
      <c r="AD5" s="3">
        <f>IF($A5="","",IF($Q5="Unknown line","Line not on Lines",IF($S5="","Supplier not on Suppliers",IF($F5="","No price",IF($W5="","Exchange rate missing — left out","OK")))))</f>
      </c>
      <c r="AE5" s="17">
        <f>IF($AB5="","",COUNTIFS($A$5:$A$84,$A5,$AB$5:$AB$84,"&lt;"&amp;$AB5)+1)</f>
      </c>
      <c r="AF5" s="3">
        <f>IF($AE5=1,"Best","")</f>
      </c>
      <c r="AG5" s="17">
        <f>IF($T5="","",IF(AND($G5&lt;&gt;"",$H5&lt;&gt;"",$T5&lt;N($G5)),$G5,IF(AND($I5&lt;&gt;"",$J5&lt;&gt;"",$T5&lt;N($I5)),$I5,IF(AND($K5&lt;&gt;"",$L5&lt;&gt;"",$T5&lt;N($K5)),$K5,""))))</f>
      </c>
      <c r="AH5" s="15">
        <f>IF($AG5="","",CEILING($AG5,IF(N($D5)&gt;0,$D5,1))*IF($AG5=$G5,$H5,IF($AG5=$I5,$J5,$L5)))</f>
      </c>
      <c r="AI5" s="3">
        <f>IF($AH5="","",IF($AH5&lt;$V5,"Ordering "&amp;TEXT(CEILING($AG5,IF(N($D5)&gt;0,$D5,1)),"0")&amp;" costs "&amp;TEXT($V5-$AH5,"0.00")&amp;" less in goods",""))</f>
      </c>
      <c r="AJ5" s="3">
        <f>IF($AE5="","",$A5&amp;"#"&amp;$AE5)</f>
      </c>
      <c r="AK5" s="17">
        <f>IF(OR($A5="",$B5=""),0,IF(IFERROR(INDEX(Award!$D$5:$D$34,MATCH($A5,Award!$A$5:$A$34,0))&amp;"","")=$B5,1,0))</f>
      </c>
      <c r="AL5" s="15">
        <f>IF(OR($AK5&lt;&gt;1,$V5=""),"",IFERROR(INDEX(Suppliers!$N$5:$N$12,MATCH($B5,Suppliers!$A$5:$A$12,0))*$V5/INDEX(Suppliers!$L$5:$L$12,MATCH($B5,Suppliers!$A$5:$A$12,0)),0))</f>
      </c>
      <c r="AM5" s="15">
        <f>IF($AL5="","",N($M5)*($V5+IF(Setup!$B$4="Yes",$AL5,0)))</f>
      </c>
      <c r="AN5" s="15">
        <f>IF(OR($AL5="",$W5=""),"",($V5+$AL5+$AM5)*$W5)</f>
      </c>
    </row>
    <row r="6">
      <c r="A6" s="13">
        <v>1</v>
      </c>
      <c r="B6" s="6" t="inlineStr">
        <is>
          <t xml:space="preserve">Bolt Industrial</t>
        </is>
      </c>
      <c r="C6" s="13">
        <v>500</v>
      </c>
      <c r="D6" s="13"/>
      <c r="E6" s="13">
        <v>1</v>
      </c>
      <c r="F6" s="22">
        <v>2</v>
      </c>
      <c r="G6" s="13"/>
      <c r="H6" s="22"/>
      <c r="I6" s="13"/>
      <c r="J6" s="22"/>
      <c r="K6" s="13"/>
      <c r="L6" s="22"/>
      <c r="M6" s="14"/>
      <c r="N6" s="13">
        <v>10</v>
      </c>
      <c r="O6" s="7"/>
      <c r="P6" s="6"/>
      <c r="Q6" s="3">
        <f>IF($A6="","",IFERROR(INDEX(Lines!$B$5:$B$34,MATCH($A6,Lines!$A$5:$A$34,0)),"Unknown line"))</f>
      </c>
      <c r="R6" s="17">
        <f>IF($A6="","",IFERROR(INDEX(Lines!$D$5:$D$34,MATCH($A6,Lines!$A$5:$A$34,0)),""))</f>
      </c>
      <c r="S6" s="3">
        <f>IF($B6="","",IFERROR(INDEX(Suppliers!$B$5:$B$12,MATCH($B6,Suppliers!$A$5:$A$12,0))&amp;"",""))</f>
      </c>
      <c r="T6" s="17">
        <f>IF(OR(N($R6)&lt;=0,$F6=""),"",CEILING(MAX($R6,N($C6),N($E6)),IF(N($D6)&gt;0,$D6,1)))</f>
      </c>
      <c r="U6" s="16">
        <f>IF($T6="","",IF(AND($K6&lt;&gt;"",$L6&lt;&gt;"",$T6&gt;=N($K6)),$L6,IF(AND($I6&lt;&gt;"",$J6&lt;&gt;"",$T6&gt;=N($I6)),$J6,IF(AND($G6&lt;&gt;"",$H6&lt;&gt;"",$T6&gt;=N($G6)),$H6,$F6))))</f>
      </c>
      <c r="V6" s="15">
        <f>IF($T6="","",$T6*$U6)</f>
      </c>
      <c r="W6" s="16">
        <f>IF($S6="","",IF($S6=Setup!$B$3,1,IFERROR(IF(N(INDEX(Setup!$B$8:$B$17,MATCH($S6,Setup!$A$8:$A$17,0)))&gt;0,INDEX(Setup!$B$8:$B$17,MATCH($S6,Setup!$A$8:$A$17,0)),""),"")))</f>
      </c>
      <c r="X6" s="15">
        <f>IF($V6="","",IFERROR(INDEX(Suppliers!$K$5:$K$12,MATCH($B6,Suppliers!$A$5:$A$12,0))*$V6/INDEX(Suppliers!$I$5:$I$12,MATCH($B6,Suppliers!$A$5:$A$12,0)),0))</f>
      </c>
      <c r="Y6" s="15">
        <f>IF($V6="","",N($M6)*($V6+IF(Setup!$B$4="Yes",$X6,0)))</f>
      </c>
      <c r="Z6" s="15">
        <f>IF($V6="","",$V6+$X6+$Y6)</f>
      </c>
      <c r="AA6" s="15">
        <f>IF(OR($Z6="",$W6=""),"",$Z6*$W6)</f>
      </c>
      <c r="AB6" s="16">
        <f>IF($AA6="","",$AA6/$R6)</f>
      </c>
      <c r="AC6" s="17">
        <f>IF($T6="","",$T6-$R6)</f>
      </c>
      <c r="AD6" s="3">
        <f>IF($A6="","",IF($Q6="Unknown line","Line not on Lines",IF($S6="","Supplier not on Suppliers",IF($F6="","No price",IF($W6="","Exchange rate missing — left out","OK")))))</f>
      </c>
      <c r="AE6" s="17">
        <f>IF($AB6="","",COUNTIFS($A$5:$A$84,$A6,$AB$5:$AB$84,"&lt;"&amp;$AB6)+1)</f>
      </c>
      <c r="AF6" s="3">
        <f>IF($AE6=1,"Best","")</f>
      </c>
      <c r="AG6" s="17">
        <f>IF($T6="","",IF(AND($G6&lt;&gt;"",$H6&lt;&gt;"",$T6&lt;N($G6)),$G6,IF(AND($I6&lt;&gt;"",$J6&lt;&gt;"",$T6&lt;N($I6)),$I6,IF(AND($K6&lt;&gt;"",$L6&lt;&gt;"",$T6&lt;N($K6)),$K6,""))))</f>
      </c>
      <c r="AH6" s="15">
        <f>IF($AG6="","",CEILING($AG6,IF(N($D6)&gt;0,$D6,1))*IF($AG6=$G6,$H6,IF($AG6=$I6,$J6,$L6)))</f>
      </c>
      <c r="AI6" s="3">
        <f>IF($AH6="","",IF($AH6&lt;$V6,"Ordering "&amp;TEXT(CEILING($AG6,IF(N($D6)&gt;0,$D6,1)),"0")&amp;" costs "&amp;TEXT($V6-$AH6,"0.00")&amp;" less in goods",""))</f>
      </c>
      <c r="AJ6" s="3">
        <f>IF($AE6="","",$A6&amp;"#"&amp;$AE6)</f>
      </c>
      <c r="AK6" s="17">
        <f>IF(OR($A6="",$B6=""),0,IF(IFERROR(INDEX(Award!$D$5:$D$34,MATCH($A6,Award!$A$5:$A$34,0))&amp;"","")=$B6,1,0))</f>
      </c>
      <c r="AL6" s="15">
        <f>IF(OR($AK6&lt;&gt;1,$V6=""),"",IFERROR(INDEX(Suppliers!$N$5:$N$12,MATCH($B6,Suppliers!$A$5:$A$12,0))*$V6/INDEX(Suppliers!$L$5:$L$12,MATCH($B6,Suppliers!$A$5:$A$12,0)),0))</f>
      </c>
      <c r="AM6" s="15">
        <f>IF($AL6="","",N($M6)*($V6+IF(Setup!$B$4="Yes",$AL6,0)))</f>
      </c>
      <c r="AN6" s="15">
        <f>IF(OR($AL6="",$W6=""),"",($V6+$AL6+$AM6)*$W6)</f>
      </c>
    </row>
    <row r="7">
      <c r="A7" s="13">
        <v>1</v>
      </c>
      <c r="B7" s="6" t="inlineStr">
        <is>
          <t xml:space="preserve">Carter Supply</t>
        </is>
      </c>
      <c r="C7" s="13"/>
      <c r="D7" s="13">
        <v>100</v>
      </c>
      <c r="E7" s="13">
        <v>1</v>
      </c>
      <c r="F7" s="22">
        <v>2.3</v>
      </c>
      <c r="G7" s="13">
        <v>250</v>
      </c>
      <c r="H7" s="22">
        <v>2.05</v>
      </c>
      <c r="I7" s="13"/>
      <c r="J7" s="22"/>
      <c r="K7" s="13"/>
      <c r="L7" s="22"/>
      <c r="M7" s="14"/>
      <c r="N7" s="13">
        <v>7</v>
      </c>
      <c r="O7" s="7"/>
      <c r="P7" s="6"/>
      <c r="Q7" s="3">
        <f>IF($A7="","",IFERROR(INDEX(Lines!$B$5:$B$34,MATCH($A7,Lines!$A$5:$A$34,0)),"Unknown line"))</f>
      </c>
      <c r="R7" s="17">
        <f>IF($A7="","",IFERROR(INDEX(Lines!$D$5:$D$34,MATCH($A7,Lines!$A$5:$A$34,0)),""))</f>
      </c>
      <c r="S7" s="3">
        <f>IF($B7="","",IFERROR(INDEX(Suppliers!$B$5:$B$12,MATCH($B7,Suppliers!$A$5:$A$12,0))&amp;"",""))</f>
      </c>
      <c r="T7" s="17">
        <f>IF(OR(N($R7)&lt;=0,$F7=""),"",CEILING(MAX($R7,N($C7),N($E7)),IF(N($D7)&gt;0,$D7,1)))</f>
      </c>
      <c r="U7" s="16">
        <f>IF($T7="","",IF(AND($K7&lt;&gt;"",$L7&lt;&gt;"",$T7&gt;=N($K7)),$L7,IF(AND($I7&lt;&gt;"",$J7&lt;&gt;"",$T7&gt;=N($I7)),$J7,IF(AND($G7&lt;&gt;"",$H7&lt;&gt;"",$T7&gt;=N($G7)),$H7,$F7))))</f>
      </c>
      <c r="V7" s="15">
        <f>IF($T7="","",$T7*$U7)</f>
      </c>
      <c r="W7" s="16">
        <f>IF($S7="","",IF($S7=Setup!$B$3,1,IFERROR(IF(N(INDEX(Setup!$B$8:$B$17,MATCH($S7,Setup!$A$8:$A$17,0)))&gt;0,INDEX(Setup!$B$8:$B$17,MATCH($S7,Setup!$A$8:$A$17,0)),""),"")))</f>
      </c>
      <c r="X7" s="15">
        <f>IF($V7="","",IFERROR(INDEX(Suppliers!$K$5:$K$12,MATCH($B7,Suppliers!$A$5:$A$12,0))*$V7/INDEX(Suppliers!$I$5:$I$12,MATCH($B7,Suppliers!$A$5:$A$12,0)),0))</f>
      </c>
      <c r="Y7" s="15">
        <f>IF($V7="","",N($M7)*($V7+IF(Setup!$B$4="Yes",$X7,0)))</f>
      </c>
      <c r="Z7" s="15">
        <f>IF($V7="","",$V7+$X7+$Y7)</f>
      </c>
      <c r="AA7" s="15">
        <f>IF(OR($Z7="",$W7=""),"",$Z7*$W7)</f>
      </c>
      <c r="AB7" s="16">
        <f>IF($AA7="","",$AA7/$R7)</f>
      </c>
      <c r="AC7" s="17">
        <f>IF($T7="","",$T7-$R7)</f>
      </c>
      <c r="AD7" s="3">
        <f>IF($A7="","",IF($Q7="Unknown line","Line not on Lines",IF($S7="","Supplier not on Suppliers",IF($F7="","No price",IF($W7="","Exchange rate missing — left out","OK")))))</f>
      </c>
      <c r="AE7" s="17">
        <f>IF($AB7="","",COUNTIFS($A$5:$A$84,$A7,$AB$5:$AB$84,"&lt;"&amp;$AB7)+1)</f>
      </c>
      <c r="AF7" s="3">
        <f>IF($AE7=1,"Best","")</f>
      </c>
      <c r="AG7" s="17">
        <f>IF($T7="","",IF(AND($G7&lt;&gt;"",$H7&lt;&gt;"",$T7&lt;N($G7)),$G7,IF(AND($I7&lt;&gt;"",$J7&lt;&gt;"",$T7&lt;N($I7)),$I7,IF(AND($K7&lt;&gt;"",$L7&lt;&gt;"",$T7&lt;N($K7)),$K7,""))))</f>
      </c>
      <c r="AH7" s="15">
        <f>IF($AG7="","",CEILING($AG7,IF(N($D7)&gt;0,$D7,1))*IF($AG7=$G7,$H7,IF($AG7=$I7,$J7,$L7)))</f>
      </c>
      <c r="AI7" s="3">
        <f>IF($AH7="","",IF($AH7&lt;$V7,"Ordering "&amp;TEXT(CEILING($AG7,IF(N($D7)&gt;0,$D7,1)),"0")&amp;" costs "&amp;TEXT($V7-$AH7,"0.00")&amp;" less in goods",""))</f>
      </c>
      <c r="AJ7" s="3">
        <f>IF($AE7="","",$A7&amp;"#"&amp;$AE7)</f>
      </c>
      <c r="AK7" s="17">
        <f>IF(OR($A7="",$B7=""),0,IF(IFERROR(INDEX(Award!$D$5:$D$34,MATCH($A7,Award!$A$5:$A$34,0))&amp;"","")=$B7,1,0))</f>
      </c>
      <c r="AL7" s="15">
        <f>IF(OR($AK7&lt;&gt;1,$V7=""),"",IFERROR(INDEX(Suppliers!$N$5:$N$12,MATCH($B7,Suppliers!$A$5:$A$12,0))*$V7/INDEX(Suppliers!$L$5:$L$12,MATCH($B7,Suppliers!$A$5:$A$12,0)),0))</f>
      </c>
      <c r="AM7" s="15">
        <f>IF($AL7="","",N($M7)*($V7+IF(Setup!$B$4="Yes",$AL7,0)))</f>
      </c>
      <c r="AN7" s="15">
        <f>IF(OR($AL7="",$W7=""),"",($V7+$AL7+$AM7)*$W7)</f>
      </c>
    </row>
    <row r="8">
      <c r="A8" s="13">
        <v>2</v>
      </c>
      <c r="B8" s="6" t="inlineStr">
        <is>
          <t xml:space="preserve">Allied Controls</t>
        </is>
      </c>
      <c r="C8" s="13"/>
      <c r="D8" s="13"/>
      <c r="E8" s="13">
        <v>1</v>
      </c>
      <c r="F8" s="22">
        <v>6.9</v>
      </c>
      <c r="G8" s="13">
        <v>50</v>
      </c>
      <c r="H8" s="22">
        <v>6.4</v>
      </c>
      <c r="I8" s="13"/>
      <c r="J8" s="22"/>
      <c r="K8" s="13"/>
      <c r="L8" s="22"/>
      <c r="M8" s="14"/>
      <c r="N8" s="13">
        <v>5</v>
      </c>
      <c r="O8" s="7"/>
      <c r="P8" s="6"/>
      <c r="Q8" s="3">
        <f>IF($A8="","",IFERROR(INDEX(Lines!$B$5:$B$34,MATCH($A8,Lines!$A$5:$A$34,0)),"Unknown line"))</f>
      </c>
      <c r="R8" s="17">
        <f>IF($A8="","",IFERROR(INDEX(Lines!$D$5:$D$34,MATCH($A8,Lines!$A$5:$A$34,0)),""))</f>
      </c>
      <c r="S8" s="3">
        <f>IF($B8="","",IFERROR(INDEX(Suppliers!$B$5:$B$12,MATCH($B8,Suppliers!$A$5:$A$12,0))&amp;"",""))</f>
      </c>
      <c r="T8" s="17">
        <f>IF(OR(N($R8)&lt;=0,$F8=""),"",CEILING(MAX($R8,N($C8),N($E8)),IF(N($D8)&gt;0,$D8,1)))</f>
      </c>
      <c r="U8" s="16">
        <f>IF($T8="","",IF(AND($K8&lt;&gt;"",$L8&lt;&gt;"",$T8&gt;=N($K8)),$L8,IF(AND($I8&lt;&gt;"",$J8&lt;&gt;"",$T8&gt;=N($I8)),$J8,IF(AND($G8&lt;&gt;"",$H8&lt;&gt;"",$T8&gt;=N($G8)),$H8,$F8))))</f>
      </c>
      <c r="V8" s="15">
        <f>IF($T8="","",$T8*$U8)</f>
      </c>
      <c r="W8" s="16">
        <f>IF($S8="","",IF($S8=Setup!$B$3,1,IFERROR(IF(N(INDEX(Setup!$B$8:$B$17,MATCH($S8,Setup!$A$8:$A$17,0)))&gt;0,INDEX(Setup!$B$8:$B$17,MATCH($S8,Setup!$A$8:$A$17,0)),""),"")))</f>
      </c>
      <c r="X8" s="15">
        <f>IF($V8="","",IFERROR(INDEX(Suppliers!$K$5:$K$12,MATCH($B8,Suppliers!$A$5:$A$12,0))*$V8/INDEX(Suppliers!$I$5:$I$12,MATCH($B8,Suppliers!$A$5:$A$12,0)),0))</f>
      </c>
      <c r="Y8" s="15">
        <f>IF($V8="","",N($M8)*($V8+IF(Setup!$B$4="Yes",$X8,0)))</f>
      </c>
      <c r="Z8" s="15">
        <f>IF($V8="","",$V8+$X8+$Y8)</f>
      </c>
      <c r="AA8" s="15">
        <f>IF(OR($Z8="",$W8=""),"",$Z8*$W8)</f>
      </c>
      <c r="AB8" s="16">
        <f>IF($AA8="","",$AA8/$R8)</f>
      </c>
      <c r="AC8" s="17">
        <f>IF($T8="","",$T8-$R8)</f>
      </c>
      <c r="AD8" s="3">
        <f>IF($A8="","",IF($Q8="Unknown line","Line not on Lines",IF($S8="","Supplier not on Suppliers",IF($F8="","No price",IF($W8="","Exchange rate missing — left out","OK")))))</f>
      </c>
      <c r="AE8" s="17">
        <f>IF($AB8="","",COUNTIFS($A$5:$A$84,$A8,$AB$5:$AB$84,"&lt;"&amp;$AB8)+1)</f>
      </c>
      <c r="AF8" s="3">
        <f>IF($AE8=1,"Best","")</f>
      </c>
      <c r="AG8" s="17">
        <f>IF($T8="","",IF(AND($G8&lt;&gt;"",$H8&lt;&gt;"",$T8&lt;N($G8)),$G8,IF(AND($I8&lt;&gt;"",$J8&lt;&gt;"",$T8&lt;N($I8)),$I8,IF(AND($K8&lt;&gt;"",$L8&lt;&gt;"",$T8&lt;N($K8)),$K8,""))))</f>
      </c>
      <c r="AH8" s="15">
        <f>IF($AG8="","",CEILING($AG8,IF(N($D8)&gt;0,$D8,1))*IF($AG8=$G8,$H8,IF($AG8=$I8,$J8,$L8)))</f>
      </c>
      <c r="AI8" s="3">
        <f>IF($AH8="","",IF($AH8&lt;$V8,"Ordering "&amp;TEXT(CEILING($AG8,IF(N($D8)&gt;0,$D8,1)),"0")&amp;" costs "&amp;TEXT($V8-$AH8,"0.00")&amp;" less in goods",""))</f>
      </c>
      <c r="AJ8" s="3">
        <f>IF($AE8="","",$A8&amp;"#"&amp;$AE8)</f>
      </c>
      <c r="AK8" s="17">
        <f>IF(OR($A8="",$B8=""),0,IF(IFERROR(INDEX(Award!$D$5:$D$34,MATCH($A8,Award!$A$5:$A$34,0))&amp;"","")=$B8,1,0))</f>
      </c>
      <c r="AL8" s="15">
        <f>IF(OR($AK8&lt;&gt;1,$V8=""),"",IFERROR(INDEX(Suppliers!$N$5:$N$12,MATCH($B8,Suppliers!$A$5:$A$12,0))*$V8/INDEX(Suppliers!$L$5:$L$12,MATCH($B8,Suppliers!$A$5:$A$12,0)),0))</f>
      </c>
      <c r="AM8" s="15">
        <f>IF($AL8="","",N($M8)*($V8+IF(Setup!$B$4="Yes",$AL8,0)))</f>
      </c>
      <c r="AN8" s="15">
        <f>IF(OR($AL8="",$W8=""),"",($V8+$AL8+$AM8)*$W8)</f>
      </c>
    </row>
    <row r="9">
      <c r="A9" s="13">
        <v>2</v>
      </c>
      <c r="B9" s="6" t="inlineStr">
        <is>
          <t xml:space="preserve">Carter Supply</t>
        </is>
      </c>
      <c r="C9" s="13"/>
      <c r="D9" s="13">
        <v>10</v>
      </c>
      <c r="E9" s="13">
        <v>1</v>
      </c>
      <c r="F9" s="22">
        <v>6.6</v>
      </c>
      <c r="G9" s="13"/>
      <c r="H9" s="22"/>
      <c r="I9" s="13"/>
      <c r="J9" s="22"/>
      <c r="K9" s="13"/>
      <c r="L9" s="22"/>
      <c r="M9" s="14"/>
      <c r="N9" s="13">
        <v>7</v>
      </c>
      <c r="O9" s="7"/>
      <c r="P9" s="6"/>
      <c r="Q9" s="3">
        <f>IF($A9="","",IFERROR(INDEX(Lines!$B$5:$B$34,MATCH($A9,Lines!$A$5:$A$34,0)),"Unknown line"))</f>
      </c>
      <c r="R9" s="17">
        <f>IF($A9="","",IFERROR(INDEX(Lines!$D$5:$D$34,MATCH($A9,Lines!$A$5:$A$34,0)),""))</f>
      </c>
      <c r="S9" s="3">
        <f>IF($B9="","",IFERROR(INDEX(Suppliers!$B$5:$B$12,MATCH($B9,Suppliers!$A$5:$A$12,0))&amp;"",""))</f>
      </c>
      <c r="T9" s="17">
        <f>IF(OR(N($R9)&lt;=0,$F9=""),"",CEILING(MAX($R9,N($C9),N($E9)),IF(N($D9)&gt;0,$D9,1)))</f>
      </c>
      <c r="U9" s="16">
        <f>IF($T9="","",IF(AND($K9&lt;&gt;"",$L9&lt;&gt;"",$T9&gt;=N($K9)),$L9,IF(AND($I9&lt;&gt;"",$J9&lt;&gt;"",$T9&gt;=N($I9)),$J9,IF(AND($G9&lt;&gt;"",$H9&lt;&gt;"",$T9&gt;=N($G9)),$H9,$F9))))</f>
      </c>
      <c r="V9" s="15">
        <f>IF($T9="","",$T9*$U9)</f>
      </c>
      <c r="W9" s="16">
        <f>IF($S9="","",IF($S9=Setup!$B$3,1,IFERROR(IF(N(INDEX(Setup!$B$8:$B$17,MATCH($S9,Setup!$A$8:$A$17,0)))&gt;0,INDEX(Setup!$B$8:$B$17,MATCH($S9,Setup!$A$8:$A$17,0)),""),"")))</f>
      </c>
      <c r="X9" s="15">
        <f>IF($V9="","",IFERROR(INDEX(Suppliers!$K$5:$K$12,MATCH($B9,Suppliers!$A$5:$A$12,0))*$V9/INDEX(Suppliers!$I$5:$I$12,MATCH($B9,Suppliers!$A$5:$A$12,0)),0))</f>
      </c>
      <c r="Y9" s="15">
        <f>IF($V9="","",N($M9)*($V9+IF(Setup!$B$4="Yes",$X9,0)))</f>
      </c>
      <c r="Z9" s="15">
        <f>IF($V9="","",$V9+$X9+$Y9)</f>
      </c>
      <c r="AA9" s="15">
        <f>IF(OR($Z9="",$W9=""),"",$Z9*$W9)</f>
      </c>
      <c r="AB9" s="16">
        <f>IF($AA9="","",$AA9/$R9)</f>
      </c>
      <c r="AC9" s="17">
        <f>IF($T9="","",$T9-$R9)</f>
      </c>
      <c r="AD9" s="3">
        <f>IF($A9="","",IF($Q9="Unknown line","Line not on Lines",IF($S9="","Supplier not on Suppliers",IF($F9="","No price",IF($W9="","Exchange rate missing — left out","OK")))))</f>
      </c>
      <c r="AE9" s="17">
        <f>IF($AB9="","",COUNTIFS($A$5:$A$84,$A9,$AB$5:$AB$84,"&lt;"&amp;$AB9)+1)</f>
      </c>
      <c r="AF9" s="3">
        <f>IF($AE9=1,"Best","")</f>
      </c>
      <c r="AG9" s="17">
        <f>IF($T9="","",IF(AND($G9&lt;&gt;"",$H9&lt;&gt;"",$T9&lt;N($G9)),$G9,IF(AND($I9&lt;&gt;"",$J9&lt;&gt;"",$T9&lt;N($I9)),$I9,IF(AND($K9&lt;&gt;"",$L9&lt;&gt;"",$T9&lt;N($K9)),$K9,""))))</f>
      </c>
      <c r="AH9" s="15">
        <f>IF($AG9="","",CEILING($AG9,IF(N($D9)&gt;0,$D9,1))*IF($AG9=$G9,$H9,IF($AG9=$I9,$J9,$L9)))</f>
      </c>
      <c r="AI9" s="3">
        <f>IF($AH9="","",IF($AH9&lt;$V9,"Ordering "&amp;TEXT(CEILING($AG9,IF(N($D9)&gt;0,$D9,1)),"0")&amp;" costs "&amp;TEXT($V9-$AH9,"0.00")&amp;" less in goods",""))</f>
      </c>
      <c r="AJ9" s="3">
        <f>IF($AE9="","",$A9&amp;"#"&amp;$AE9)</f>
      </c>
      <c r="AK9" s="17">
        <f>IF(OR($A9="",$B9=""),0,IF(IFERROR(INDEX(Award!$D$5:$D$34,MATCH($A9,Award!$A$5:$A$34,0))&amp;"","")=$B9,1,0))</f>
      </c>
      <c r="AL9" s="15">
        <f>IF(OR($AK9&lt;&gt;1,$V9=""),"",IFERROR(INDEX(Suppliers!$N$5:$N$12,MATCH($B9,Suppliers!$A$5:$A$12,0))*$V9/INDEX(Suppliers!$L$5:$L$12,MATCH($B9,Suppliers!$A$5:$A$12,0)),0))</f>
      </c>
      <c r="AM9" s="15">
        <f>IF($AL9="","",N($M9)*($V9+IF(Setup!$B$4="Yes",$AL9,0)))</f>
      </c>
      <c r="AN9" s="15">
        <f>IF(OR($AL9="",$W9=""),"",($V9+$AL9+$AM9)*$W9)</f>
      </c>
    </row>
    <row r="10">
      <c r="A10" s="13">
        <v>2</v>
      </c>
      <c r="B10" s="6" t="inlineStr">
        <is>
          <t xml:space="preserve">Europa Elektro</t>
        </is>
      </c>
      <c r="C10" s="13">
        <v>20</v>
      </c>
      <c r="D10" s="13"/>
      <c r="E10" s="13">
        <v>1</v>
      </c>
      <c r="F10" s="22">
        <v>5.95</v>
      </c>
      <c r="G10" s="13"/>
      <c r="H10" s="22"/>
      <c r="I10" s="13"/>
      <c r="J10" s="22"/>
      <c r="K10" s="13"/>
      <c r="L10" s="22"/>
      <c r="M10" s="14">
        <v>0.027</v>
      </c>
      <c r="N10" s="13">
        <v>21</v>
      </c>
      <c r="O10" s="7"/>
      <c r="P10" s="6"/>
      <c r="Q10" s="3">
        <f>IF($A10="","",IFERROR(INDEX(Lines!$B$5:$B$34,MATCH($A10,Lines!$A$5:$A$34,0)),"Unknown line"))</f>
      </c>
      <c r="R10" s="17">
        <f>IF($A10="","",IFERROR(INDEX(Lines!$D$5:$D$34,MATCH($A10,Lines!$A$5:$A$34,0)),""))</f>
      </c>
      <c r="S10" s="3">
        <f>IF($B10="","",IFERROR(INDEX(Suppliers!$B$5:$B$12,MATCH($B10,Suppliers!$A$5:$A$12,0))&amp;"",""))</f>
      </c>
      <c r="T10" s="17">
        <f>IF(OR(N($R10)&lt;=0,$F10=""),"",CEILING(MAX($R10,N($C10),N($E10)),IF(N($D10)&gt;0,$D10,1)))</f>
      </c>
      <c r="U10" s="16">
        <f>IF($T10="","",IF(AND($K10&lt;&gt;"",$L10&lt;&gt;"",$T10&gt;=N($K10)),$L10,IF(AND($I10&lt;&gt;"",$J10&lt;&gt;"",$T10&gt;=N($I10)),$J10,IF(AND($G10&lt;&gt;"",$H10&lt;&gt;"",$T10&gt;=N($G10)),$H10,$F10))))</f>
      </c>
      <c r="V10" s="15">
        <f>IF($T10="","",$T10*$U10)</f>
      </c>
      <c r="W10" s="16">
        <f>IF($S10="","",IF($S10=Setup!$B$3,1,IFERROR(IF(N(INDEX(Setup!$B$8:$B$17,MATCH($S10,Setup!$A$8:$A$17,0)))&gt;0,INDEX(Setup!$B$8:$B$17,MATCH($S10,Setup!$A$8:$A$17,0)),""),"")))</f>
      </c>
      <c r="X10" s="15">
        <f>IF($V10="","",IFERROR(INDEX(Suppliers!$K$5:$K$12,MATCH($B10,Suppliers!$A$5:$A$12,0))*$V10/INDEX(Suppliers!$I$5:$I$12,MATCH($B10,Suppliers!$A$5:$A$12,0)),0))</f>
      </c>
      <c r="Y10" s="15">
        <f>IF($V10="","",N($M10)*($V10+IF(Setup!$B$4="Yes",$X10,0)))</f>
      </c>
      <c r="Z10" s="15">
        <f>IF($V10="","",$V10+$X10+$Y10)</f>
      </c>
      <c r="AA10" s="15">
        <f>IF(OR($Z10="",$W10=""),"",$Z10*$W10)</f>
      </c>
      <c r="AB10" s="16">
        <f>IF($AA10="","",$AA10/$R10)</f>
      </c>
      <c r="AC10" s="17">
        <f>IF($T10="","",$T10-$R10)</f>
      </c>
      <c r="AD10" s="3">
        <f>IF($A10="","",IF($Q10="Unknown line","Line not on Lines",IF($S10="","Supplier not on Suppliers",IF($F10="","No price",IF($W10="","Exchange rate missing — left out","OK")))))</f>
      </c>
      <c r="AE10" s="17">
        <f>IF($AB10="","",COUNTIFS($A$5:$A$84,$A10,$AB$5:$AB$84,"&lt;"&amp;$AB10)+1)</f>
      </c>
      <c r="AF10" s="3">
        <f>IF($AE10=1,"Best","")</f>
      </c>
      <c r="AG10" s="17">
        <f>IF($T10="","",IF(AND($G10&lt;&gt;"",$H10&lt;&gt;"",$T10&lt;N($G10)),$G10,IF(AND($I10&lt;&gt;"",$J10&lt;&gt;"",$T10&lt;N($I10)),$I10,IF(AND($K10&lt;&gt;"",$L10&lt;&gt;"",$T10&lt;N($K10)),$K10,""))))</f>
      </c>
      <c r="AH10" s="15">
        <f>IF($AG10="","",CEILING($AG10,IF(N($D10)&gt;0,$D10,1))*IF($AG10=$G10,$H10,IF($AG10=$I10,$J10,$L10)))</f>
      </c>
      <c r="AI10" s="3">
        <f>IF($AH10="","",IF($AH10&lt;$V10,"Ordering "&amp;TEXT(CEILING($AG10,IF(N($D10)&gt;0,$D10,1)),"0")&amp;" costs "&amp;TEXT($V10-$AH10,"0.00")&amp;" less in goods",""))</f>
      </c>
      <c r="AJ10" s="3">
        <f>IF($AE10="","",$A10&amp;"#"&amp;$AE10)</f>
      </c>
      <c r="AK10" s="17">
        <f>IF(OR($A10="",$B10=""),0,IF(IFERROR(INDEX(Award!$D$5:$D$34,MATCH($A10,Award!$A$5:$A$34,0))&amp;"","")=$B10,1,0))</f>
      </c>
      <c r="AL10" s="15">
        <f>IF(OR($AK10&lt;&gt;1,$V10=""),"",IFERROR(INDEX(Suppliers!$N$5:$N$12,MATCH($B10,Suppliers!$A$5:$A$12,0))*$V10/INDEX(Suppliers!$L$5:$L$12,MATCH($B10,Suppliers!$A$5:$A$12,0)),0))</f>
      </c>
      <c r="AM10" s="15">
        <f>IF($AL10="","",N($M10)*($V10+IF(Setup!$B$4="Yes",$AL10,0)))</f>
      </c>
      <c r="AN10" s="15">
        <f>IF(OR($AL10="",$W10=""),"",($V10+$AL10+$AM10)*$W10)</f>
      </c>
    </row>
    <row r="11">
      <c r="A11" s="13">
        <v>3</v>
      </c>
      <c r="B11" s="6" t="inlineStr">
        <is>
          <t xml:space="preserve">Allied Controls</t>
        </is>
      </c>
      <c r="C11" s="13"/>
      <c r="D11" s="13"/>
      <c r="E11" s="13">
        <v>1</v>
      </c>
      <c r="F11" s="22">
        <v>4.8</v>
      </c>
      <c r="G11" s="13"/>
      <c r="H11" s="22"/>
      <c r="I11" s="13"/>
      <c r="J11" s="22"/>
      <c r="K11" s="13"/>
      <c r="L11" s="22"/>
      <c r="M11" s="14"/>
      <c r="N11" s="13">
        <v>5</v>
      </c>
      <c r="O11" s="7"/>
      <c r="P11" s="6"/>
      <c r="Q11" s="3">
        <f>IF($A11="","",IFERROR(INDEX(Lines!$B$5:$B$34,MATCH($A11,Lines!$A$5:$A$34,0)),"Unknown line"))</f>
      </c>
      <c r="R11" s="17">
        <f>IF($A11="","",IFERROR(INDEX(Lines!$D$5:$D$34,MATCH($A11,Lines!$A$5:$A$34,0)),""))</f>
      </c>
      <c r="S11" s="3">
        <f>IF($B11="","",IFERROR(INDEX(Suppliers!$B$5:$B$12,MATCH($B11,Suppliers!$A$5:$A$12,0))&amp;"",""))</f>
      </c>
      <c r="T11" s="17">
        <f>IF(OR(N($R11)&lt;=0,$F11=""),"",CEILING(MAX($R11,N($C11),N($E11)),IF(N($D11)&gt;0,$D11,1)))</f>
      </c>
      <c r="U11" s="16">
        <f>IF($T11="","",IF(AND($K11&lt;&gt;"",$L11&lt;&gt;"",$T11&gt;=N($K11)),$L11,IF(AND($I11&lt;&gt;"",$J11&lt;&gt;"",$T11&gt;=N($I11)),$J11,IF(AND($G11&lt;&gt;"",$H11&lt;&gt;"",$T11&gt;=N($G11)),$H11,$F11))))</f>
      </c>
      <c r="V11" s="15">
        <f>IF($T11="","",$T11*$U11)</f>
      </c>
      <c r="W11" s="16">
        <f>IF($S11="","",IF($S11=Setup!$B$3,1,IFERROR(IF(N(INDEX(Setup!$B$8:$B$17,MATCH($S11,Setup!$A$8:$A$17,0)))&gt;0,INDEX(Setup!$B$8:$B$17,MATCH($S11,Setup!$A$8:$A$17,0)),""),"")))</f>
      </c>
      <c r="X11" s="15">
        <f>IF($V11="","",IFERROR(INDEX(Suppliers!$K$5:$K$12,MATCH($B11,Suppliers!$A$5:$A$12,0))*$V11/INDEX(Suppliers!$I$5:$I$12,MATCH($B11,Suppliers!$A$5:$A$12,0)),0))</f>
      </c>
      <c r="Y11" s="15">
        <f>IF($V11="","",N($M11)*($V11+IF(Setup!$B$4="Yes",$X11,0)))</f>
      </c>
      <c r="Z11" s="15">
        <f>IF($V11="","",$V11+$X11+$Y11)</f>
      </c>
      <c r="AA11" s="15">
        <f>IF(OR($Z11="",$W11=""),"",$Z11*$W11)</f>
      </c>
      <c r="AB11" s="16">
        <f>IF($AA11="","",$AA11/$R11)</f>
      </c>
      <c r="AC11" s="17">
        <f>IF($T11="","",$T11-$R11)</f>
      </c>
      <c r="AD11" s="3">
        <f>IF($A11="","",IF($Q11="Unknown line","Line not on Lines",IF($S11="","Supplier not on Suppliers",IF($F11="","No price",IF($W11="","Exchange rate missing — left out","OK")))))</f>
      </c>
      <c r="AE11" s="17">
        <f>IF($AB11="","",COUNTIFS($A$5:$A$84,$A11,$AB$5:$AB$84,"&lt;"&amp;$AB11)+1)</f>
      </c>
      <c r="AF11" s="3">
        <f>IF($AE11=1,"Best","")</f>
      </c>
      <c r="AG11" s="17">
        <f>IF($T11="","",IF(AND($G11&lt;&gt;"",$H11&lt;&gt;"",$T11&lt;N($G11)),$G11,IF(AND($I11&lt;&gt;"",$J11&lt;&gt;"",$T11&lt;N($I11)),$I11,IF(AND($K11&lt;&gt;"",$L11&lt;&gt;"",$T11&lt;N($K11)),$K11,""))))</f>
      </c>
      <c r="AH11" s="15">
        <f>IF($AG11="","",CEILING($AG11,IF(N($D11)&gt;0,$D11,1))*IF($AG11=$G11,$H11,IF($AG11=$I11,$J11,$L11)))</f>
      </c>
      <c r="AI11" s="3">
        <f>IF($AH11="","",IF($AH11&lt;$V11,"Ordering "&amp;TEXT(CEILING($AG11,IF(N($D11)&gt;0,$D11,1)),"0")&amp;" costs "&amp;TEXT($V11-$AH11,"0.00")&amp;" less in goods",""))</f>
      </c>
      <c r="AJ11" s="3">
        <f>IF($AE11="","",$A11&amp;"#"&amp;$AE11)</f>
      </c>
      <c r="AK11" s="17">
        <f>IF(OR($A11="",$B11=""),0,IF(IFERROR(INDEX(Award!$D$5:$D$34,MATCH($A11,Award!$A$5:$A$34,0))&amp;"","")=$B11,1,0))</f>
      </c>
      <c r="AL11" s="15">
        <f>IF(OR($AK11&lt;&gt;1,$V11=""),"",IFERROR(INDEX(Suppliers!$N$5:$N$12,MATCH($B11,Suppliers!$A$5:$A$12,0))*$V11/INDEX(Suppliers!$L$5:$L$12,MATCH($B11,Suppliers!$A$5:$A$12,0)),0))</f>
      </c>
      <c r="AM11" s="15">
        <f>IF($AL11="","",N($M11)*($V11+IF(Setup!$B$4="Yes",$AL11,0)))</f>
      </c>
      <c r="AN11" s="15">
        <f>IF(OR($AL11="",$W11=""),"",($V11+$AL11+$AM11)*$W11)</f>
      </c>
    </row>
    <row r="12">
      <c r="A12" s="13">
        <v>3</v>
      </c>
      <c r="B12" s="6" t="inlineStr">
        <is>
          <t xml:space="preserve">Bolt Industrial</t>
        </is>
      </c>
      <c r="C12" s="13">
        <v>100</v>
      </c>
      <c r="D12" s="13"/>
      <c r="E12" s="13">
        <v>1</v>
      </c>
      <c r="F12" s="22">
        <v>4.5</v>
      </c>
      <c r="G12" s="13"/>
      <c r="H12" s="22"/>
      <c r="I12" s="13"/>
      <c r="J12" s="22"/>
      <c r="K12" s="13"/>
      <c r="L12" s="22"/>
      <c r="M12" s="14"/>
      <c r="N12" s="13">
        <v>10</v>
      </c>
      <c r="O12" s="7"/>
      <c r="P12" s="6"/>
      <c r="Q12" s="3">
        <f>IF($A12="","",IFERROR(INDEX(Lines!$B$5:$B$34,MATCH($A12,Lines!$A$5:$A$34,0)),"Unknown line"))</f>
      </c>
      <c r="R12" s="17">
        <f>IF($A12="","",IFERROR(INDEX(Lines!$D$5:$D$34,MATCH($A12,Lines!$A$5:$A$34,0)),""))</f>
      </c>
      <c r="S12" s="3">
        <f>IF($B12="","",IFERROR(INDEX(Suppliers!$B$5:$B$12,MATCH($B12,Suppliers!$A$5:$A$12,0))&amp;"",""))</f>
      </c>
      <c r="T12" s="17">
        <f>IF(OR(N($R12)&lt;=0,$F12=""),"",CEILING(MAX($R12,N($C12),N($E12)),IF(N($D12)&gt;0,$D12,1)))</f>
      </c>
      <c r="U12" s="16">
        <f>IF($T12="","",IF(AND($K12&lt;&gt;"",$L12&lt;&gt;"",$T12&gt;=N($K12)),$L12,IF(AND($I12&lt;&gt;"",$J12&lt;&gt;"",$T12&gt;=N($I12)),$J12,IF(AND($G12&lt;&gt;"",$H12&lt;&gt;"",$T12&gt;=N($G12)),$H12,$F12))))</f>
      </c>
      <c r="V12" s="15">
        <f>IF($T12="","",$T12*$U12)</f>
      </c>
      <c r="W12" s="16">
        <f>IF($S12="","",IF($S12=Setup!$B$3,1,IFERROR(IF(N(INDEX(Setup!$B$8:$B$17,MATCH($S12,Setup!$A$8:$A$17,0)))&gt;0,INDEX(Setup!$B$8:$B$17,MATCH($S12,Setup!$A$8:$A$17,0)),""),"")))</f>
      </c>
      <c r="X12" s="15">
        <f>IF($V12="","",IFERROR(INDEX(Suppliers!$K$5:$K$12,MATCH($B12,Suppliers!$A$5:$A$12,0))*$V12/INDEX(Suppliers!$I$5:$I$12,MATCH($B12,Suppliers!$A$5:$A$12,0)),0))</f>
      </c>
      <c r="Y12" s="15">
        <f>IF($V12="","",N($M12)*($V12+IF(Setup!$B$4="Yes",$X12,0)))</f>
      </c>
      <c r="Z12" s="15">
        <f>IF($V12="","",$V12+$X12+$Y12)</f>
      </c>
      <c r="AA12" s="15">
        <f>IF(OR($Z12="",$W12=""),"",$Z12*$W12)</f>
      </c>
      <c r="AB12" s="16">
        <f>IF($AA12="","",$AA12/$R12)</f>
      </c>
      <c r="AC12" s="17">
        <f>IF($T12="","",$T12-$R12)</f>
      </c>
      <c r="AD12" s="3">
        <f>IF($A12="","",IF($Q12="Unknown line","Line not on Lines",IF($S12="","Supplier not on Suppliers",IF($F12="","No price",IF($W12="","Exchange rate missing — left out","OK")))))</f>
      </c>
      <c r="AE12" s="17">
        <f>IF($AB12="","",COUNTIFS($A$5:$A$84,$A12,$AB$5:$AB$84,"&lt;"&amp;$AB12)+1)</f>
      </c>
      <c r="AF12" s="3">
        <f>IF($AE12=1,"Best","")</f>
      </c>
      <c r="AG12" s="17">
        <f>IF($T12="","",IF(AND($G12&lt;&gt;"",$H12&lt;&gt;"",$T12&lt;N($G12)),$G12,IF(AND($I12&lt;&gt;"",$J12&lt;&gt;"",$T12&lt;N($I12)),$I12,IF(AND($K12&lt;&gt;"",$L12&lt;&gt;"",$T12&lt;N($K12)),$K12,""))))</f>
      </c>
      <c r="AH12" s="15">
        <f>IF($AG12="","",CEILING($AG12,IF(N($D12)&gt;0,$D12,1))*IF($AG12=$G12,$H12,IF($AG12=$I12,$J12,$L12)))</f>
      </c>
      <c r="AI12" s="3">
        <f>IF($AH12="","",IF($AH12&lt;$V12,"Ordering "&amp;TEXT(CEILING($AG12,IF(N($D12)&gt;0,$D12,1)),"0")&amp;" costs "&amp;TEXT($V12-$AH12,"0.00")&amp;" less in goods",""))</f>
      </c>
      <c r="AJ12" s="3">
        <f>IF($AE12="","",$A12&amp;"#"&amp;$AE12)</f>
      </c>
      <c r="AK12" s="17">
        <f>IF(OR($A12="",$B12=""),0,IF(IFERROR(INDEX(Award!$D$5:$D$34,MATCH($A12,Award!$A$5:$A$34,0))&amp;"","")=$B12,1,0))</f>
      </c>
      <c r="AL12" s="15">
        <f>IF(OR($AK12&lt;&gt;1,$V12=""),"",IFERROR(INDEX(Suppliers!$N$5:$N$12,MATCH($B12,Suppliers!$A$5:$A$12,0))*$V12/INDEX(Suppliers!$L$5:$L$12,MATCH($B12,Suppliers!$A$5:$A$12,0)),0))</f>
      </c>
      <c r="AM12" s="15">
        <f>IF($AL12="","",N($M12)*($V12+IF(Setup!$B$4="Yes",$AL12,0)))</f>
      </c>
      <c r="AN12" s="15">
        <f>IF(OR($AL12="",$W12=""),"",($V12+$AL12+$AM12)*$W12)</f>
      </c>
    </row>
    <row r="13">
      <c r="A13" s="13">
        <v>3</v>
      </c>
      <c r="B13" s="6" t="inlineStr">
        <is>
          <t xml:space="preserve">Europa Elektro</t>
        </is>
      </c>
      <c r="C13" s="13"/>
      <c r="D13" s="13">
        <v>12</v>
      </c>
      <c r="E13" s="13">
        <v>1</v>
      </c>
      <c r="F13" s="22">
        <v>3.95</v>
      </c>
      <c r="G13" s="13"/>
      <c r="H13" s="22"/>
      <c r="I13" s="13"/>
      <c r="J13" s="22"/>
      <c r="K13" s="13"/>
      <c r="L13" s="22"/>
      <c r="M13" s="14">
        <v>0.027</v>
      </c>
      <c r="N13" s="13">
        <v>21</v>
      </c>
      <c r="O13" s="7"/>
      <c r="P13" s="6"/>
      <c r="Q13" s="3">
        <f>IF($A13="","",IFERROR(INDEX(Lines!$B$5:$B$34,MATCH($A13,Lines!$A$5:$A$34,0)),"Unknown line"))</f>
      </c>
      <c r="R13" s="17">
        <f>IF($A13="","",IFERROR(INDEX(Lines!$D$5:$D$34,MATCH($A13,Lines!$A$5:$A$34,0)),""))</f>
      </c>
      <c r="S13" s="3">
        <f>IF($B13="","",IFERROR(INDEX(Suppliers!$B$5:$B$12,MATCH($B13,Suppliers!$A$5:$A$12,0))&amp;"",""))</f>
      </c>
      <c r="T13" s="17">
        <f>IF(OR(N($R13)&lt;=0,$F13=""),"",CEILING(MAX($R13,N($C13),N($E13)),IF(N($D13)&gt;0,$D13,1)))</f>
      </c>
      <c r="U13" s="16">
        <f>IF($T13="","",IF(AND($K13&lt;&gt;"",$L13&lt;&gt;"",$T13&gt;=N($K13)),$L13,IF(AND($I13&lt;&gt;"",$J13&lt;&gt;"",$T13&gt;=N($I13)),$J13,IF(AND($G13&lt;&gt;"",$H13&lt;&gt;"",$T13&gt;=N($G13)),$H13,$F13))))</f>
      </c>
      <c r="V13" s="15">
        <f>IF($T13="","",$T13*$U13)</f>
      </c>
      <c r="W13" s="16">
        <f>IF($S13="","",IF($S13=Setup!$B$3,1,IFERROR(IF(N(INDEX(Setup!$B$8:$B$17,MATCH($S13,Setup!$A$8:$A$17,0)))&gt;0,INDEX(Setup!$B$8:$B$17,MATCH($S13,Setup!$A$8:$A$17,0)),""),"")))</f>
      </c>
      <c r="X13" s="15">
        <f>IF($V13="","",IFERROR(INDEX(Suppliers!$K$5:$K$12,MATCH($B13,Suppliers!$A$5:$A$12,0))*$V13/INDEX(Suppliers!$I$5:$I$12,MATCH($B13,Suppliers!$A$5:$A$12,0)),0))</f>
      </c>
      <c r="Y13" s="15">
        <f>IF($V13="","",N($M13)*($V13+IF(Setup!$B$4="Yes",$X13,0)))</f>
      </c>
      <c r="Z13" s="15">
        <f>IF($V13="","",$V13+$X13+$Y13)</f>
      </c>
      <c r="AA13" s="15">
        <f>IF(OR($Z13="",$W13=""),"",$Z13*$W13)</f>
      </c>
      <c r="AB13" s="16">
        <f>IF($AA13="","",$AA13/$R13)</f>
      </c>
      <c r="AC13" s="17">
        <f>IF($T13="","",$T13-$R13)</f>
      </c>
      <c r="AD13" s="3">
        <f>IF($A13="","",IF($Q13="Unknown line","Line not on Lines",IF($S13="","Supplier not on Suppliers",IF($F13="","No price",IF($W13="","Exchange rate missing — left out","OK")))))</f>
      </c>
      <c r="AE13" s="17">
        <f>IF($AB13="","",COUNTIFS($A$5:$A$84,$A13,$AB$5:$AB$84,"&lt;"&amp;$AB13)+1)</f>
      </c>
      <c r="AF13" s="3">
        <f>IF($AE13=1,"Best","")</f>
      </c>
      <c r="AG13" s="17">
        <f>IF($T13="","",IF(AND($G13&lt;&gt;"",$H13&lt;&gt;"",$T13&lt;N($G13)),$G13,IF(AND($I13&lt;&gt;"",$J13&lt;&gt;"",$T13&lt;N($I13)),$I13,IF(AND($K13&lt;&gt;"",$L13&lt;&gt;"",$T13&lt;N($K13)),$K13,""))))</f>
      </c>
      <c r="AH13" s="15">
        <f>IF($AG13="","",CEILING($AG13,IF(N($D13)&gt;0,$D13,1))*IF($AG13=$G13,$H13,IF($AG13=$I13,$J13,$L13)))</f>
      </c>
      <c r="AI13" s="3">
        <f>IF($AH13="","",IF($AH13&lt;$V13,"Ordering "&amp;TEXT(CEILING($AG13,IF(N($D13)&gt;0,$D13,1)),"0")&amp;" costs "&amp;TEXT($V13-$AH13,"0.00")&amp;" less in goods",""))</f>
      </c>
      <c r="AJ13" s="3">
        <f>IF($AE13="","",$A13&amp;"#"&amp;$AE13)</f>
      </c>
      <c r="AK13" s="17">
        <f>IF(OR($A13="",$B13=""),0,IF(IFERROR(INDEX(Award!$D$5:$D$34,MATCH($A13,Award!$A$5:$A$34,0))&amp;"","")=$B13,1,0))</f>
      </c>
      <c r="AL13" s="15">
        <f>IF(OR($AK13&lt;&gt;1,$V13=""),"",IFERROR(INDEX(Suppliers!$N$5:$N$12,MATCH($B13,Suppliers!$A$5:$A$12,0))*$V13/INDEX(Suppliers!$L$5:$L$12,MATCH($B13,Suppliers!$A$5:$A$12,0)),0))</f>
      </c>
      <c r="AM13" s="15">
        <f>IF($AL13="","",N($M13)*($V13+IF(Setup!$B$4="Yes",$AL13,0)))</f>
      </c>
      <c r="AN13" s="15">
        <f>IF(OR($AL13="",$W13=""),"",($V13+$AL13+$AM13)*$W13)</f>
      </c>
    </row>
    <row r="14">
      <c r="A14" s="13"/>
      <c r="B14" s="6"/>
      <c r="C14" s="13"/>
      <c r="D14" s="13"/>
      <c r="E14" s="13"/>
      <c r="F14" s="22"/>
      <c r="G14" s="13"/>
      <c r="H14" s="22"/>
      <c r="I14" s="13"/>
      <c r="J14" s="22"/>
      <c r="K14" s="13"/>
      <c r="L14" s="22"/>
      <c r="M14" s="14"/>
      <c r="N14" s="13"/>
      <c r="O14" s="7"/>
      <c r="P14" s="6"/>
      <c r="Q14" s="3">
        <f>IF($A14="","",IFERROR(INDEX(Lines!$B$5:$B$34,MATCH($A14,Lines!$A$5:$A$34,0)),"Unknown line"))</f>
      </c>
      <c r="R14" s="17">
        <f>IF($A14="","",IFERROR(INDEX(Lines!$D$5:$D$34,MATCH($A14,Lines!$A$5:$A$34,0)),""))</f>
      </c>
      <c r="S14" s="3">
        <f>IF($B14="","",IFERROR(INDEX(Suppliers!$B$5:$B$12,MATCH($B14,Suppliers!$A$5:$A$12,0))&amp;"",""))</f>
      </c>
      <c r="T14" s="17">
        <f>IF(OR(N($R14)&lt;=0,$F14=""),"",CEILING(MAX($R14,N($C14),N($E14)),IF(N($D14)&gt;0,$D14,1)))</f>
      </c>
      <c r="U14" s="16">
        <f>IF($T14="","",IF(AND($K14&lt;&gt;"",$L14&lt;&gt;"",$T14&gt;=N($K14)),$L14,IF(AND($I14&lt;&gt;"",$J14&lt;&gt;"",$T14&gt;=N($I14)),$J14,IF(AND($G14&lt;&gt;"",$H14&lt;&gt;"",$T14&gt;=N($G14)),$H14,$F14))))</f>
      </c>
      <c r="V14" s="15">
        <f>IF($T14="","",$T14*$U14)</f>
      </c>
      <c r="W14" s="16">
        <f>IF($S14="","",IF($S14=Setup!$B$3,1,IFERROR(IF(N(INDEX(Setup!$B$8:$B$17,MATCH($S14,Setup!$A$8:$A$17,0)))&gt;0,INDEX(Setup!$B$8:$B$17,MATCH($S14,Setup!$A$8:$A$17,0)),""),"")))</f>
      </c>
      <c r="X14" s="15">
        <f>IF($V14="","",IFERROR(INDEX(Suppliers!$K$5:$K$12,MATCH($B14,Suppliers!$A$5:$A$12,0))*$V14/INDEX(Suppliers!$I$5:$I$12,MATCH($B14,Suppliers!$A$5:$A$12,0)),0))</f>
      </c>
      <c r="Y14" s="15">
        <f>IF($V14="","",N($M14)*($V14+IF(Setup!$B$4="Yes",$X14,0)))</f>
      </c>
      <c r="Z14" s="15">
        <f>IF($V14="","",$V14+$X14+$Y14)</f>
      </c>
      <c r="AA14" s="15">
        <f>IF(OR($Z14="",$W14=""),"",$Z14*$W14)</f>
      </c>
      <c r="AB14" s="16">
        <f>IF($AA14="","",$AA14/$R14)</f>
      </c>
      <c r="AC14" s="17">
        <f>IF($T14="","",$T14-$R14)</f>
      </c>
      <c r="AD14" s="3">
        <f>IF($A14="","",IF($Q14="Unknown line","Line not on Lines",IF($S14="","Supplier not on Suppliers",IF($F14="","No price",IF($W14="","Exchange rate missing — left out","OK")))))</f>
      </c>
      <c r="AE14" s="17">
        <f>IF($AB14="","",COUNTIFS($A$5:$A$84,$A14,$AB$5:$AB$84,"&lt;"&amp;$AB14)+1)</f>
      </c>
      <c r="AF14" s="3">
        <f>IF($AE14=1,"Best","")</f>
      </c>
      <c r="AG14" s="17">
        <f>IF($T14="","",IF(AND($G14&lt;&gt;"",$H14&lt;&gt;"",$T14&lt;N($G14)),$G14,IF(AND($I14&lt;&gt;"",$J14&lt;&gt;"",$T14&lt;N($I14)),$I14,IF(AND($K14&lt;&gt;"",$L14&lt;&gt;"",$T14&lt;N($K14)),$K14,""))))</f>
      </c>
      <c r="AH14" s="15">
        <f>IF($AG14="","",CEILING($AG14,IF(N($D14)&gt;0,$D14,1))*IF($AG14=$G14,$H14,IF($AG14=$I14,$J14,$L14)))</f>
      </c>
      <c r="AI14" s="3">
        <f>IF($AH14="","",IF($AH14&lt;$V14,"Ordering "&amp;TEXT(CEILING($AG14,IF(N($D14)&gt;0,$D14,1)),"0")&amp;" costs "&amp;TEXT($V14-$AH14,"0.00")&amp;" less in goods",""))</f>
      </c>
      <c r="AJ14" s="3">
        <f>IF($AE14="","",$A14&amp;"#"&amp;$AE14)</f>
      </c>
      <c r="AK14" s="17">
        <f>IF(OR($A14="",$B14=""),0,IF(IFERROR(INDEX(Award!$D$5:$D$34,MATCH($A14,Award!$A$5:$A$34,0))&amp;"","")=$B14,1,0))</f>
      </c>
      <c r="AL14" s="15">
        <f>IF(OR($AK14&lt;&gt;1,$V14=""),"",IFERROR(INDEX(Suppliers!$N$5:$N$12,MATCH($B14,Suppliers!$A$5:$A$12,0))*$V14/INDEX(Suppliers!$L$5:$L$12,MATCH($B14,Suppliers!$A$5:$A$12,0)),0))</f>
      </c>
      <c r="AM14" s="15">
        <f>IF($AL14="","",N($M14)*($V14+IF(Setup!$B$4="Yes",$AL14,0)))</f>
      </c>
      <c r="AN14" s="15">
        <f>IF(OR($AL14="",$W14=""),"",($V14+$AL14+$AM14)*$W14)</f>
      </c>
    </row>
    <row r="15">
      <c r="A15" s="13"/>
      <c r="B15" s="6"/>
      <c r="C15" s="13"/>
      <c r="D15" s="13"/>
      <c r="E15" s="13"/>
      <c r="F15" s="22"/>
      <c r="G15" s="13"/>
      <c r="H15" s="22"/>
      <c r="I15" s="13"/>
      <c r="J15" s="22"/>
      <c r="K15" s="13"/>
      <c r="L15" s="22"/>
      <c r="M15" s="14"/>
      <c r="N15" s="13"/>
      <c r="O15" s="7"/>
      <c r="P15" s="6"/>
      <c r="Q15" s="3">
        <f>IF($A15="","",IFERROR(INDEX(Lines!$B$5:$B$34,MATCH($A15,Lines!$A$5:$A$34,0)),"Unknown line"))</f>
      </c>
      <c r="R15" s="17">
        <f>IF($A15="","",IFERROR(INDEX(Lines!$D$5:$D$34,MATCH($A15,Lines!$A$5:$A$34,0)),""))</f>
      </c>
      <c r="S15" s="3">
        <f>IF($B15="","",IFERROR(INDEX(Suppliers!$B$5:$B$12,MATCH($B15,Suppliers!$A$5:$A$12,0))&amp;"",""))</f>
      </c>
      <c r="T15" s="17">
        <f>IF(OR(N($R15)&lt;=0,$F15=""),"",CEILING(MAX($R15,N($C15),N($E15)),IF(N($D15)&gt;0,$D15,1)))</f>
      </c>
      <c r="U15" s="16">
        <f>IF($T15="","",IF(AND($K15&lt;&gt;"",$L15&lt;&gt;"",$T15&gt;=N($K15)),$L15,IF(AND($I15&lt;&gt;"",$J15&lt;&gt;"",$T15&gt;=N($I15)),$J15,IF(AND($G15&lt;&gt;"",$H15&lt;&gt;"",$T15&gt;=N($G15)),$H15,$F15))))</f>
      </c>
      <c r="V15" s="15">
        <f>IF($T15="","",$T15*$U15)</f>
      </c>
      <c r="W15" s="16">
        <f>IF($S15="","",IF($S15=Setup!$B$3,1,IFERROR(IF(N(INDEX(Setup!$B$8:$B$17,MATCH($S15,Setup!$A$8:$A$17,0)))&gt;0,INDEX(Setup!$B$8:$B$17,MATCH($S15,Setup!$A$8:$A$17,0)),""),"")))</f>
      </c>
      <c r="X15" s="15">
        <f>IF($V15="","",IFERROR(INDEX(Suppliers!$K$5:$K$12,MATCH($B15,Suppliers!$A$5:$A$12,0))*$V15/INDEX(Suppliers!$I$5:$I$12,MATCH($B15,Suppliers!$A$5:$A$12,0)),0))</f>
      </c>
      <c r="Y15" s="15">
        <f>IF($V15="","",N($M15)*($V15+IF(Setup!$B$4="Yes",$X15,0)))</f>
      </c>
      <c r="Z15" s="15">
        <f>IF($V15="","",$V15+$X15+$Y15)</f>
      </c>
      <c r="AA15" s="15">
        <f>IF(OR($Z15="",$W15=""),"",$Z15*$W15)</f>
      </c>
      <c r="AB15" s="16">
        <f>IF($AA15="","",$AA15/$R15)</f>
      </c>
      <c r="AC15" s="17">
        <f>IF($T15="","",$T15-$R15)</f>
      </c>
      <c r="AD15" s="3">
        <f>IF($A15="","",IF($Q15="Unknown line","Line not on Lines",IF($S15="","Supplier not on Suppliers",IF($F15="","No price",IF($W15="","Exchange rate missing — left out","OK")))))</f>
      </c>
      <c r="AE15" s="17">
        <f>IF($AB15="","",COUNTIFS($A$5:$A$84,$A15,$AB$5:$AB$84,"&lt;"&amp;$AB15)+1)</f>
      </c>
      <c r="AF15" s="3">
        <f>IF($AE15=1,"Best","")</f>
      </c>
      <c r="AG15" s="17">
        <f>IF($T15="","",IF(AND($G15&lt;&gt;"",$H15&lt;&gt;"",$T15&lt;N($G15)),$G15,IF(AND($I15&lt;&gt;"",$J15&lt;&gt;"",$T15&lt;N($I15)),$I15,IF(AND($K15&lt;&gt;"",$L15&lt;&gt;"",$T15&lt;N($K15)),$K15,""))))</f>
      </c>
      <c r="AH15" s="15">
        <f>IF($AG15="","",CEILING($AG15,IF(N($D15)&gt;0,$D15,1))*IF($AG15=$G15,$H15,IF($AG15=$I15,$J15,$L15)))</f>
      </c>
      <c r="AI15" s="3">
        <f>IF($AH15="","",IF($AH15&lt;$V15,"Ordering "&amp;TEXT(CEILING($AG15,IF(N($D15)&gt;0,$D15,1)),"0")&amp;" costs "&amp;TEXT($V15-$AH15,"0.00")&amp;" less in goods",""))</f>
      </c>
      <c r="AJ15" s="3">
        <f>IF($AE15="","",$A15&amp;"#"&amp;$AE15)</f>
      </c>
      <c r="AK15" s="17">
        <f>IF(OR($A15="",$B15=""),0,IF(IFERROR(INDEX(Award!$D$5:$D$34,MATCH($A15,Award!$A$5:$A$34,0))&amp;"","")=$B15,1,0))</f>
      </c>
      <c r="AL15" s="15">
        <f>IF(OR($AK15&lt;&gt;1,$V15=""),"",IFERROR(INDEX(Suppliers!$N$5:$N$12,MATCH($B15,Suppliers!$A$5:$A$12,0))*$V15/INDEX(Suppliers!$L$5:$L$12,MATCH($B15,Suppliers!$A$5:$A$12,0)),0))</f>
      </c>
      <c r="AM15" s="15">
        <f>IF($AL15="","",N($M15)*($V15+IF(Setup!$B$4="Yes",$AL15,0)))</f>
      </c>
      <c r="AN15" s="15">
        <f>IF(OR($AL15="",$W15=""),"",($V15+$AL15+$AM15)*$W15)</f>
      </c>
    </row>
    <row r="16">
      <c r="A16" s="13"/>
      <c r="B16" s="6"/>
      <c r="C16" s="13"/>
      <c r="D16" s="13"/>
      <c r="E16" s="13"/>
      <c r="F16" s="22"/>
      <c r="G16" s="13"/>
      <c r="H16" s="22"/>
      <c r="I16" s="13"/>
      <c r="J16" s="22"/>
      <c r="K16" s="13"/>
      <c r="L16" s="22"/>
      <c r="M16" s="14"/>
      <c r="N16" s="13"/>
      <c r="O16" s="7"/>
      <c r="P16" s="6"/>
      <c r="Q16" s="3">
        <f>IF($A16="","",IFERROR(INDEX(Lines!$B$5:$B$34,MATCH($A16,Lines!$A$5:$A$34,0)),"Unknown line"))</f>
      </c>
      <c r="R16" s="17">
        <f>IF($A16="","",IFERROR(INDEX(Lines!$D$5:$D$34,MATCH($A16,Lines!$A$5:$A$34,0)),""))</f>
      </c>
      <c r="S16" s="3">
        <f>IF($B16="","",IFERROR(INDEX(Suppliers!$B$5:$B$12,MATCH($B16,Suppliers!$A$5:$A$12,0))&amp;"",""))</f>
      </c>
      <c r="T16" s="17">
        <f>IF(OR(N($R16)&lt;=0,$F16=""),"",CEILING(MAX($R16,N($C16),N($E16)),IF(N($D16)&gt;0,$D16,1)))</f>
      </c>
      <c r="U16" s="16">
        <f>IF($T16="","",IF(AND($K16&lt;&gt;"",$L16&lt;&gt;"",$T16&gt;=N($K16)),$L16,IF(AND($I16&lt;&gt;"",$J16&lt;&gt;"",$T16&gt;=N($I16)),$J16,IF(AND($G16&lt;&gt;"",$H16&lt;&gt;"",$T16&gt;=N($G16)),$H16,$F16))))</f>
      </c>
      <c r="V16" s="15">
        <f>IF($T16="","",$T16*$U16)</f>
      </c>
      <c r="W16" s="16">
        <f>IF($S16="","",IF($S16=Setup!$B$3,1,IFERROR(IF(N(INDEX(Setup!$B$8:$B$17,MATCH($S16,Setup!$A$8:$A$17,0)))&gt;0,INDEX(Setup!$B$8:$B$17,MATCH($S16,Setup!$A$8:$A$17,0)),""),"")))</f>
      </c>
      <c r="X16" s="15">
        <f>IF($V16="","",IFERROR(INDEX(Suppliers!$K$5:$K$12,MATCH($B16,Suppliers!$A$5:$A$12,0))*$V16/INDEX(Suppliers!$I$5:$I$12,MATCH($B16,Suppliers!$A$5:$A$12,0)),0))</f>
      </c>
      <c r="Y16" s="15">
        <f>IF($V16="","",N($M16)*($V16+IF(Setup!$B$4="Yes",$X16,0)))</f>
      </c>
      <c r="Z16" s="15">
        <f>IF($V16="","",$V16+$X16+$Y16)</f>
      </c>
      <c r="AA16" s="15">
        <f>IF(OR($Z16="",$W16=""),"",$Z16*$W16)</f>
      </c>
      <c r="AB16" s="16">
        <f>IF($AA16="","",$AA16/$R16)</f>
      </c>
      <c r="AC16" s="17">
        <f>IF($T16="","",$T16-$R16)</f>
      </c>
      <c r="AD16" s="3">
        <f>IF($A16="","",IF($Q16="Unknown line","Line not on Lines",IF($S16="","Supplier not on Suppliers",IF($F16="","No price",IF($W16="","Exchange rate missing — left out","OK")))))</f>
      </c>
      <c r="AE16" s="17">
        <f>IF($AB16="","",COUNTIFS($A$5:$A$84,$A16,$AB$5:$AB$84,"&lt;"&amp;$AB16)+1)</f>
      </c>
      <c r="AF16" s="3">
        <f>IF($AE16=1,"Best","")</f>
      </c>
      <c r="AG16" s="17">
        <f>IF($T16="","",IF(AND($G16&lt;&gt;"",$H16&lt;&gt;"",$T16&lt;N($G16)),$G16,IF(AND($I16&lt;&gt;"",$J16&lt;&gt;"",$T16&lt;N($I16)),$I16,IF(AND($K16&lt;&gt;"",$L16&lt;&gt;"",$T16&lt;N($K16)),$K16,""))))</f>
      </c>
      <c r="AH16" s="15">
        <f>IF($AG16="","",CEILING($AG16,IF(N($D16)&gt;0,$D16,1))*IF($AG16=$G16,$H16,IF($AG16=$I16,$J16,$L16)))</f>
      </c>
      <c r="AI16" s="3">
        <f>IF($AH16="","",IF($AH16&lt;$V16,"Ordering "&amp;TEXT(CEILING($AG16,IF(N($D16)&gt;0,$D16,1)),"0")&amp;" costs "&amp;TEXT($V16-$AH16,"0.00")&amp;" less in goods",""))</f>
      </c>
      <c r="AJ16" s="3">
        <f>IF($AE16="","",$A16&amp;"#"&amp;$AE16)</f>
      </c>
      <c r="AK16" s="17">
        <f>IF(OR($A16="",$B16=""),0,IF(IFERROR(INDEX(Award!$D$5:$D$34,MATCH($A16,Award!$A$5:$A$34,0))&amp;"","")=$B16,1,0))</f>
      </c>
      <c r="AL16" s="15">
        <f>IF(OR($AK16&lt;&gt;1,$V16=""),"",IFERROR(INDEX(Suppliers!$N$5:$N$12,MATCH($B16,Suppliers!$A$5:$A$12,0))*$V16/INDEX(Suppliers!$L$5:$L$12,MATCH($B16,Suppliers!$A$5:$A$12,0)),0))</f>
      </c>
      <c r="AM16" s="15">
        <f>IF($AL16="","",N($M16)*($V16+IF(Setup!$B$4="Yes",$AL16,0)))</f>
      </c>
      <c r="AN16" s="15">
        <f>IF(OR($AL16="",$W16=""),"",($V16+$AL16+$AM16)*$W16)</f>
      </c>
    </row>
    <row r="17">
      <c r="A17" s="13"/>
      <c r="B17" s="6"/>
      <c r="C17" s="13"/>
      <c r="D17" s="13"/>
      <c r="E17" s="13"/>
      <c r="F17" s="22"/>
      <c r="G17" s="13"/>
      <c r="H17" s="22"/>
      <c r="I17" s="13"/>
      <c r="J17" s="22"/>
      <c r="K17" s="13"/>
      <c r="L17" s="22"/>
      <c r="M17" s="14"/>
      <c r="N17" s="13"/>
      <c r="O17" s="7"/>
      <c r="P17" s="6"/>
      <c r="Q17" s="3">
        <f>IF($A17="","",IFERROR(INDEX(Lines!$B$5:$B$34,MATCH($A17,Lines!$A$5:$A$34,0)),"Unknown line"))</f>
      </c>
      <c r="R17" s="17">
        <f>IF($A17="","",IFERROR(INDEX(Lines!$D$5:$D$34,MATCH($A17,Lines!$A$5:$A$34,0)),""))</f>
      </c>
      <c r="S17" s="3">
        <f>IF($B17="","",IFERROR(INDEX(Suppliers!$B$5:$B$12,MATCH($B17,Suppliers!$A$5:$A$12,0))&amp;"",""))</f>
      </c>
      <c r="T17" s="17">
        <f>IF(OR(N($R17)&lt;=0,$F17=""),"",CEILING(MAX($R17,N($C17),N($E17)),IF(N($D17)&gt;0,$D17,1)))</f>
      </c>
      <c r="U17" s="16">
        <f>IF($T17="","",IF(AND($K17&lt;&gt;"",$L17&lt;&gt;"",$T17&gt;=N($K17)),$L17,IF(AND($I17&lt;&gt;"",$J17&lt;&gt;"",$T17&gt;=N($I17)),$J17,IF(AND($G17&lt;&gt;"",$H17&lt;&gt;"",$T17&gt;=N($G17)),$H17,$F17))))</f>
      </c>
      <c r="V17" s="15">
        <f>IF($T17="","",$T17*$U17)</f>
      </c>
      <c r="W17" s="16">
        <f>IF($S17="","",IF($S17=Setup!$B$3,1,IFERROR(IF(N(INDEX(Setup!$B$8:$B$17,MATCH($S17,Setup!$A$8:$A$17,0)))&gt;0,INDEX(Setup!$B$8:$B$17,MATCH($S17,Setup!$A$8:$A$17,0)),""),"")))</f>
      </c>
      <c r="X17" s="15">
        <f>IF($V17="","",IFERROR(INDEX(Suppliers!$K$5:$K$12,MATCH($B17,Suppliers!$A$5:$A$12,0))*$V17/INDEX(Suppliers!$I$5:$I$12,MATCH($B17,Suppliers!$A$5:$A$12,0)),0))</f>
      </c>
      <c r="Y17" s="15">
        <f>IF($V17="","",N($M17)*($V17+IF(Setup!$B$4="Yes",$X17,0)))</f>
      </c>
      <c r="Z17" s="15">
        <f>IF($V17="","",$V17+$X17+$Y17)</f>
      </c>
      <c r="AA17" s="15">
        <f>IF(OR($Z17="",$W17=""),"",$Z17*$W17)</f>
      </c>
      <c r="AB17" s="16">
        <f>IF($AA17="","",$AA17/$R17)</f>
      </c>
      <c r="AC17" s="17">
        <f>IF($T17="","",$T17-$R17)</f>
      </c>
      <c r="AD17" s="3">
        <f>IF($A17="","",IF($Q17="Unknown line","Line not on Lines",IF($S17="","Supplier not on Suppliers",IF($F17="","No price",IF($W17="","Exchange rate missing — left out","OK")))))</f>
      </c>
      <c r="AE17" s="17">
        <f>IF($AB17="","",COUNTIFS($A$5:$A$84,$A17,$AB$5:$AB$84,"&lt;"&amp;$AB17)+1)</f>
      </c>
      <c r="AF17" s="3">
        <f>IF($AE17=1,"Best","")</f>
      </c>
      <c r="AG17" s="17">
        <f>IF($T17="","",IF(AND($G17&lt;&gt;"",$H17&lt;&gt;"",$T17&lt;N($G17)),$G17,IF(AND($I17&lt;&gt;"",$J17&lt;&gt;"",$T17&lt;N($I17)),$I17,IF(AND($K17&lt;&gt;"",$L17&lt;&gt;"",$T17&lt;N($K17)),$K17,""))))</f>
      </c>
      <c r="AH17" s="15">
        <f>IF($AG17="","",CEILING($AG17,IF(N($D17)&gt;0,$D17,1))*IF($AG17=$G17,$H17,IF($AG17=$I17,$J17,$L17)))</f>
      </c>
      <c r="AI17" s="3">
        <f>IF($AH17="","",IF($AH17&lt;$V17,"Ordering "&amp;TEXT(CEILING($AG17,IF(N($D17)&gt;0,$D17,1)),"0")&amp;" costs "&amp;TEXT($V17-$AH17,"0.00")&amp;" less in goods",""))</f>
      </c>
      <c r="AJ17" s="3">
        <f>IF($AE17="","",$A17&amp;"#"&amp;$AE17)</f>
      </c>
      <c r="AK17" s="17">
        <f>IF(OR($A17="",$B17=""),0,IF(IFERROR(INDEX(Award!$D$5:$D$34,MATCH($A17,Award!$A$5:$A$34,0))&amp;"","")=$B17,1,0))</f>
      </c>
      <c r="AL17" s="15">
        <f>IF(OR($AK17&lt;&gt;1,$V17=""),"",IFERROR(INDEX(Suppliers!$N$5:$N$12,MATCH($B17,Suppliers!$A$5:$A$12,0))*$V17/INDEX(Suppliers!$L$5:$L$12,MATCH($B17,Suppliers!$A$5:$A$12,0)),0))</f>
      </c>
      <c r="AM17" s="15">
        <f>IF($AL17="","",N($M17)*($V17+IF(Setup!$B$4="Yes",$AL17,0)))</f>
      </c>
      <c r="AN17" s="15">
        <f>IF(OR($AL17="",$W17=""),"",($V17+$AL17+$AM17)*$W17)</f>
      </c>
    </row>
    <row r="18">
      <c r="A18" s="13"/>
      <c r="B18" s="6"/>
      <c r="C18" s="13"/>
      <c r="D18" s="13"/>
      <c r="E18" s="13"/>
      <c r="F18" s="22"/>
      <c r="G18" s="13"/>
      <c r="H18" s="22"/>
      <c r="I18" s="13"/>
      <c r="J18" s="22"/>
      <c r="K18" s="13"/>
      <c r="L18" s="22"/>
      <c r="M18" s="14"/>
      <c r="N18" s="13"/>
      <c r="O18" s="7"/>
      <c r="P18" s="6"/>
      <c r="Q18" s="3">
        <f>IF($A18="","",IFERROR(INDEX(Lines!$B$5:$B$34,MATCH($A18,Lines!$A$5:$A$34,0)),"Unknown line"))</f>
      </c>
      <c r="R18" s="17">
        <f>IF($A18="","",IFERROR(INDEX(Lines!$D$5:$D$34,MATCH($A18,Lines!$A$5:$A$34,0)),""))</f>
      </c>
      <c r="S18" s="3">
        <f>IF($B18="","",IFERROR(INDEX(Suppliers!$B$5:$B$12,MATCH($B18,Suppliers!$A$5:$A$12,0))&amp;"",""))</f>
      </c>
      <c r="T18" s="17">
        <f>IF(OR(N($R18)&lt;=0,$F18=""),"",CEILING(MAX($R18,N($C18),N($E18)),IF(N($D18)&gt;0,$D18,1)))</f>
      </c>
      <c r="U18" s="16">
        <f>IF($T18="","",IF(AND($K18&lt;&gt;"",$L18&lt;&gt;"",$T18&gt;=N($K18)),$L18,IF(AND($I18&lt;&gt;"",$J18&lt;&gt;"",$T18&gt;=N($I18)),$J18,IF(AND($G18&lt;&gt;"",$H18&lt;&gt;"",$T18&gt;=N($G18)),$H18,$F18))))</f>
      </c>
      <c r="V18" s="15">
        <f>IF($T18="","",$T18*$U18)</f>
      </c>
      <c r="W18" s="16">
        <f>IF($S18="","",IF($S18=Setup!$B$3,1,IFERROR(IF(N(INDEX(Setup!$B$8:$B$17,MATCH($S18,Setup!$A$8:$A$17,0)))&gt;0,INDEX(Setup!$B$8:$B$17,MATCH($S18,Setup!$A$8:$A$17,0)),""),"")))</f>
      </c>
      <c r="X18" s="15">
        <f>IF($V18="","",IFERROR(INDEX(Suppliers!$K$5:$K$12,MATCH($B18,Suppliers!$A$5:$A$12,0))*$V18/INDEX(Suppliers!$I$5:$I$12,MATCH($B18,Suppliers!$A$5:$A$12,0)),0))</f>
      </c>
      <c r="Y18" s="15">
        <f>IF($V18="","",N($M18)*($V18+IF(Setup!$B$4="Yes",$X18,0)))</f>
      </c>
      <c r="Z18" s="15">
        <f>IF($V18="","",$V18+$X18+$Y18)</f>
      </c>
      <c r="AA18" s="15">
        <f>IF(OR($Z18="",$W18=""),"",$Z18*$W18)</f>
      </c>
      <c r="AB18" s="16">
        <f>IF($AA18="","",$AA18/$R18)</f>
      </c>
      <c r="AC18" s="17">
        <f>IF($T18="","",$T18-$R18)</f>
      </c>
      <c r="AD18" s="3">
        <f>IF($A18="","",IF($Q18="Unknown line","Line not on Lines",IF($S18="","Supplier not on Suppliers",IF($F18="","No price",IF($W18="","Exchange rate missing — left out","OK")))))</f>
      </c>
      <c r="AE18" s="17">
        <f>IF($AB18="","",COUNTIFS($A$5:$A$84,$A18,$AB$5:$AB$84,"&lt;"&amp;$AB18)+1)</f>
      </c>
      <c r="AF18" s="3">
        <f>IF($AE18=1,"Best","")</f>
      </c>
      <c r="AG18" s="17">
        <f>IF($T18="","",IF(AND($G18&lt;&gt;"",$H18&lt;&gt;"",$T18&lt;N($G18)),$G18,IF(AND($I18&lt;&gt;"",$J18&lt;&gt;"",$T18&lt;N($I18)),$I18,IF(AND($K18&lt;&gt;"",$L18&lt;&gt;"",$T18&lt;N($K18)),$K18,""))))</f>
      </c>
      <c r="AH18" s="15">
        <f>IF($AG18="","",CEILING($AG18,IF(N($D18)&gt;0,$D18,1))*IF($AG18=$G18,$H18,IF($AG18=$I18,$J18,$L18)))</f>
      </c>
      <c r="AI18" s="3">
        <f>IF($AH18="","",IF($AH18&lt;$V18,"Ordering "&amp;TEXT(CEILING($AG18,IF(N($D18)&gt;0,$D18,1)),"0")&amp;" costs "&amp;TEXT($V18-$AH18,"0.00")&amp;" less in goods",""))</f>
      </c>
      <c r="AJ18" s="3">
        <f>IF($AE18="","",$A18&amp;"#"&amp;$AE18)</f>
      </c>
      <c r="AK18" s="17">
        <f>IF(OR($A18="",$B18=""),0,IF(IFERROR(INDEX(Award!$D$5:$D$34,MATCH($A18,Award!$A$5:$A$34,0))&amp;"","")=$B18,1,0))</f>
      </c>
      <c r="AL18" s="15">
        <f>IF(OR($AK18&lt;&gt;1,$V18=""),"",IFERROR(INDEX(Suppliers!$N$5:$N$12,MATCH($B18,Suppliers!$A$5:$A$12,0))*$V18/INDEX(Suppliers!$L$5:$L$12,MATCH($B18,Suppliers!$A$5:$A$12,0)),0))</f>
      </c>
      <c r="AM18" s="15">
        <f>IF($AL18="","",N($M18)*($V18+IF(Setup!$B$4="Yes",$AL18,0)))</f>
      </c>
      <c r="AN18" s="15">
        <f>IF(OR($AL18="",$W18=""),"",($V18+$AL18+$AM18)*$W18)</f>
      </c>
    </row>
    <row r="19">
      <c r="A19" s="13"/>
      <c r="B19" s="6"/>
      <c r="C19" s="13"/>
      <c r="D19" s="13"/>
      <c r="E19" s="13"/>
      <c r="F19" s="22"/>
      <c r="G19" s="13"/>
      <c r="H19" s="22"/>
      <c r="I19" s="13"/>
      <c r="J19" s="22"/>
      <c r="K19" s="13"/>
      <c r="L19" s="22"/>
      <c r="M19" s="14"/>
      <c r="N19" s="13"/>
      <c r="O19" s="7"/>
      <c r="P19" s="6"/>
      <c r="Q19" s="3">
        <f>IF($A19="","",IFERROR(INDEX(Lines!$B$5:$B$34,MATCH($A19,Lines!$A$5:$A$34,0)),"Unknown line"))</f>
      </c>
      <c r="R19" s="17">
        <f>IF($A19="","",IFERROR(INDEX(Lines!$D$5:$D$34,MATCH($A19,Lines!$A$5:$A$34,0)),""))</f>
      </c>
      <c r="S19" s="3">
        <f>IF($B19="","",IFERROR(INDEX(Suppliers!$B$5:$B$12,MATCH($B19,Suppliers!$A$5:$A$12,0))&amp;"",""))</f>
      </c>
      <c r="T19" s="17">
        <f>IF(OR(N($R19)&lt;=0,$F19=""),"",CEILING(MAX($R19,N($C19),N($E19)),IF(N($D19)&gt;0,$D19,1)))</f>
      </c>
      <c r="U19" s="16">
        <f>IF($T19="","",IF(AND($K19&lt;&gt;"",$L19&lt;&gt;"",$T19&gt;=N($K19)),$L19,IF(AND($I19&lt;&gt;"",$J19&lt;&gt;"",$T19&gt;=N($I19)),$J19,IF(AND($G19&lt;&gt;"",$H19&lt;&gt;"",$T19&gt;=N($G19)),$H19,$F19))))</f>
      </c>
      <c r="V19" s="15">
        <f>IF($T19="","",$T19*$U19)</f>
      </c>
      <c r="W19" s="16">
        <f>IF($S19="","",IF($S19=Setup!$B$3,1,IFERROR(IF(N(INDEX(Setup!$B$8:$B$17,MATCH($S19,Setup!$A$8:$A$17,0)))&gt;0,INDEX(Setup!$B$8:$B$17,MATCH($S19,Setup!$A$8:$A$17,0)),""),"")))</f>
      </c>
      <c r="X19" s="15">
        <f>IF($V19="","",IFERROR(INDEX(Suppliers!$K$5:$K$12,MATCH($B19,Suppliers!$A$5:$A$12,0))*$V19/INDEX(Suppliers!$I$5:$I$12,MATCH($B19,Suppliers!$A$5:$A$12,0)),0))</f>
      </c>
      <c r="Y19" s="15">
        <f>IF($V19="","",N($M19)*($V19+IF(Setup!$B$4="Yes",$X19,0)))</f>
      </c>
      <c r="Z19" s="15">
        <f>IF($V19="","",$V19+$X19+$Y19)</f>
      </c>
      <c r="AA19" s="15">
        <f>IF(OR($Z19="",$W19=""),"",$Z19*$W19)</f>
      </c>
      <c r="AB19" s="16">
        <f>IF($AA19="","",$AA19/$R19)</f>
      </c>
      <c r="AC19" s="17">
        <f>IF($T19="","",$T19-$R19)</f>
      </c>
      <c r="AD19" s="3">
        <f>IF($A19="","",IF($Q19="Unknown line","Line not on Lines",IF($S19="","Supplier not on Suppliers",IF($F19="","No price",IF($W19="","Exchange rate missing — left out","OK")))))</f>
      </c>
      <c r="AE19" s="17">
        <f>IF($AB19="","",COUNTIFS($A$5:$A$84,$A19,$AB$5:$AB$84,"&lt;"&amp;$AB19)+1)</f>
      </c>
      <c r="AF19" s="3">
        <f>IF($AE19=1,"Best","")</f>
      </c>
      <c r="AG19" s="17">
        <f>IF($T19="","",IF(AND($G19&lt;&gt;"",$H19&lt;&gt;"",$T19&lt;N($G19)),$G19,IF(AND($I19&lt;&gt;"",$J19&lt;&gt;"",$T19&lt;N($I19)),$I19,IF(AND($K19&lt;&gt;"",$L19&lt;&gt;"",$T19&lt;N($K19)),$K19,""))))</f>
      </c>
      <c r="AH19" s="15">
        <f>IF($AG19="","",CEILING($AG19,IF(N($D19)&gt;0,$D19,1))*IF($AG19=$G19,$H19,IF($AG19=$I19,$J19,$L19)))</f>
      </c>
      <c r="AI19" s="3">
        <f>IF($AH19="","",IF($AH19&lt;$V19,"Ordering "&amp;TEXT(CEILING($AG19,IF(N($D19)&gt;0,$D19,1)),"0")&amp;" costs "&amp;TEXT($V19-$AH19,"0.00")&amp;" less in goods",""))</f>
      </c>
      <c r="AJ19" s="3">
        <f>IF($AE19="","",$A19&amp;"#"&amp;$AE19)</f>
      </c>
      <c r="AK19" s="17">
        <f>IF(OR($A19="",$B19=""),0,IF(IFERROR(INDEX(Award!$D$5:$D$34,MATCH($A19,Award!$A$5:$A$34,0))&amp;"","")=$B19,1,0))</f>
      </c>
      <c r="AL19" s="15">
        <f>IF(OR($AK19&lt;&gt;1,$V19=""),"",IFERROR(INDEX(Suppliers!$N$5:$N$12,MATCH($B19,Suppliers!$A$5:$A$12,0))*$V19/INDEX(Suppliers!$L$5:$L$12,MATCH($B19,Suppliers!$A$5:$A$12,0)),0))</f>
      </c>
      <c r="AM19" s="15">
        <f>IF($AL19="","",N($M19)*($V19+IF(Setup!$B$4="Yes",$AL19,0)))</f>
      </c>
      <c r="AN19" s="15">
        <f>IF(OR($AL19="",$W19=""),"",($V19+$AL19+$AM19)*$W19)</f>
      </c>
    </row>
    <row r="20">
      <c r="A20" s="13"/>
      <c r="B20" s="6"/>
      <c r="C20" s="13"/>
      <c r="D20" s="13"/>
      <c r="E20" s="13"/>
      <c r="F20" s="22"/>
      <c r="G20" s="13"/>
      <c r="H20" s="22"/>
      <c r="I20" s="13"/>
      <c r="J20" s="22"/>
      <c r="K20" s="13"/>
      <c r="L20" s="22"/>
      <c r="M20" s="14"/>
      <c r="N20" s="13"/>
      <c r="O20" s="7"/>
      <c r="P20" s="6"/>
      <c r="Q20" s="3">
        <f>IF($A20="","",IFERROR(INDEX(Lines!$B$5:$B$34,MATCH($A20,Lines!$A$5:$A$34,0)),"Unknown line"))</f>
      </c>
      <c r="R20" s="17">
        <f>IF($A20="","",IFERROR(INDEX(Lines!$D$5:$D$34,MATCH($A20,Lines!$A$5:$A$34,0)),""))</f>
      </c>
      <c r="S20" s="3">
        <f>IF($B20="","",IFERROR(INDEX(Suppliers!$B$5:$B$12,MATCH($B20,Suppliers!$A$5:$A$12,0))&amp;"",""))</f>
      </c>
      <c r="T20" s="17">
        <f>IF(OR(N($R20)&lt;=0,$F20=""),"",CEILING(MAX($R20,N($C20),N($E20)),IF(N($D20)&gt;0,$D20,1)))</f>
      </c>
      <c r="U20" s="16">
        <f>IF($T20="","",IF(AND($K20&lt;&gt;"",$L20&lt;&gt;"",$T20&gt;=N($K20)),$L20,IF(AND($I20&lt;&gt;"",$J20&lt;&gt;"",$T20&gt;=N($I20)),$J20,IF(AND($G20&lt;&gt;"",$H20&lt;&gt;"",$T20&gt;=N($G20)),$H20,$F20))))</f>
      </c>
      <c r="V20" s="15">
        <f>IF($T20="","",$T20*$U20)</f>
      </c>
      <c r="W20" s="16">
        <f>IF($S20="","",IF($S20=Setup!$B$3,1,IFERROR(IF(N(INDEX(Setup!$B$8:$B$17,MATCH($S20,Setup!$A$8:$A$17,0)))&gt;0,INDEX(Setup!$B$8:$B$17,MATCH($S20,Setup!$A$8:$A$17,0)),""),"")))</f>
      </c>
      <c r="X20" s="15">
        <f>IF($V20="","",IFERROR(INDEX(Suppliers!$K$5:$K$12,MATCH($B20,Suppliers!$A$5:$A$12,0))*$V20/INDEX(Suppliers!$I$5:$I$12,MATCH($B20,Suppliers!$A$5:$A$12,0)),0))</f>
      </c>
      <c r="Y20" s="15">
        <f>IF($V20="","",N($M20)*($V20+IF(Setup!$B$4="Yes",$X20,0)))</f>
      </c>
      <c r="Z20" s="15">
        <f>IF($V20="","",$V20+$X20+$Y20)</f>
      </c>
      <c r="AA20" s="15">
        <f>IF(OR($Z20="",$W20=""),"",$Z20*$W20)</f>
      </c>
      <c r="AB20" s="16">
        <f>IF($AA20="","",$AA20/$R20)</f>
      </c>
      <c r="AC20" s="17">
        <f>IF($T20="","",$T20-$R20)</f>
      </c>
      <c r="AD20" s="3">
        <f>IF($A20="","",IF($Q20="Unknown line","Line not on Lines",IF($S20="","Supplier not on Suppliers",IF($F20="","No price",IF($W20="","Exchange rate missing — left out","OK")))))</f>
      </c>
      <c r="AE20" s="17">
        <f>IF($AB20="","",COUNTIFS($A$5:$A$84,$A20,$AB$5:$AB$84,"&lt;"&amp;$AB20)+1)</f>
      </c>
      <c r="AF20" s="3">
        <f>IF($AE20=1,"Best","")</f>
      </c>
      <c r="AG20" s="17">
        <f>IF($T20="","",IF(AND($G20&lt;&gt;"",$H20&lt;&gt;"",$T20&lt;N($G20)),$G20,IF(AND($I20&lt;&gt;"",$J20&lt;&gt;"",$T20&lt;N($I20)),$I20,IF(AND($K20&lt;&gt;"",$L20&lt;&gt;"",$T20&lt;N($K20)),$K20,""))))</f>
      </c>
      <c r="AH20" s="15">
        <f>IF($AG20="","",CEILING($AG20,IF(N($D20)&gt;0,$D20,1))*IF($AG20=$G20,$H20,IF($AG20=$I20,$J20,$L20)))</f>
      </c>
      <c r="AI20" s="3">
        <f>IF($AH20="","",IF($AH20&lt;$V20,"Ordering "&amp;TEXT(CEILING($AG20,IF(N($D20)&gt;0,$D20,1)),"0")&amp;" costs "&amp;TEXT($V20-$AH20,"0.00")&amp;" less in goods",""))</f>
      </c>
      <c r="AJ20" s="3">
        <f>IF($AE20="","",$A20&amp;"#"&amp;$AE20)</f>
      </c>
      <c r="AK20" s="17">
        <f>IF(OR($A20="",$B20=""),0,IF(IFERROR(INDEX(Award!$D$5:$D$34,MATCH($A20,Award!$A$5:$A$34,0))&amp;"","")=$B20,1,0))</f>
      </c>
      <c r="AL20" s="15">
        <f>IF(OR($AK20&lt;&gt;1,$V20=""),"",IFERROR(INDEX(Suppliers!$N$5:$N$12,MATCH($B20,Suppliers!$A$5:$A$12,0))*$V20/INDEX(Suppliers!$L$5:$L$12,MATCH($B20,Suppliers!$A$5:$A$12,0)),0))</f>
      </c>
      <c r="AM20" s="15">
        <f>IF($AL20="","",N($M20)*($V20+IF(Setup!$B$4="Yes",$AL20,0)))</f>
      </c>
      <c r="AN20" s="15">
        <f>IF(OR($AL20="",$W20=""),"",($V20+$AL20+$AM20)*$W20)</f>
      </c>
    </row>
    <row r="21">
      <c r="A21" s="13"/>
      <c r="B21" s="6"/>
      <c r="C21" s="13"/>
      <c r="D21" s="13"/>
      <c r="E21" s="13"/>
      <c r="F21" s="22"/>
      <c r="G21" s="13"/>
      <c r="H21" s="22"/>
      <c r="I21" s="13"/>
      <c r="J21" s="22"/>
      <c r="K21" s="13"/>
      <c r="L21" s="22"/>
      <c r="M21" s="14"/>
      <c r="N21" s="13"/>
      <c r="O21" s="7"/>
      <c r="P21" s="6"/>
      <c r="Q21" s="3">
        <f>IF($A21="","",IFERROR(INDEX(Lines!$B$5:$B$34,MATCH($A21,Lines!$A$5:$A$34,0)),"Unknown line"))</f>
      </c>
      <c r="R21" s="17">
        <f>IF($A21="","",IFERROR(INDEX(Lines!$D$5:$D$34,MATCH($A21,Lines!$A$5:$A$34,0)),""))</f>
      </c>
      <c r="S21" s="3">
        <f>IF($B21="","",IFERROR(INDEX(Suppliers!$B$5:$B$12,MATCH($B21,Suppliers!$A$5:$A$12,0))&amp;"",""))</f>
      </c>
      <c r="T21" s="17">
        <f>IF(OR(N($R21)&lt;=0,$F21=""),"",CEILING(MAX($R21,N($C21),N($E21)),IF(N($D21)&gt;0,$D21,1)))</f>
      </c>
      <c r="U21" s="16">
        <f>IF($T21="","",IF(AND($K21&lt;&gt;"",$L21&lt;&gt;"",$T21&gt;=N($K21)),$L21,IF(AND($I21&lt;&gt;"",$J21&lt;&gt;"",$T21&gt;=N($I21)),$J21,IF(AND($G21&lt;&gt;"",$H21&lt;&gt;"",$T21&gt;=N($G21)),$H21,$F21))))</f>
      </c>
      <c r="V21" s="15">
        <f>IF($T21="","",$T21*$U21)</f>
      </c>
      <c r="W21" s="16">
        <f>IF($S21="","",IF($S21=Setup!$B$3,1,IFERROR(IF(N(INDEX(Setup!$B$8:$B$17,MATCH($S21,Setup!$A$8:$A$17,0)))&gt;0,INDEX(Setup!$B$8:$B$17,MATCH($S21,Setup!$A$8:$A$17,0)),""),"")))</f>
      </c>
      <c r="X21" s="15">
        <f>IF($V21="","",IFERROR(INDEX(Suppliers!$K$5:$K$12,MATCH($B21,Suppliers!$A$5:$A$12,0))*$V21/INDEX(Suppliers!$I$5:$I$12,MATCH($B21,Suppliers!$A$5:$A$12,0)),0))</f>
      </c>
      <c r="Y21" s="15">
        <f>IF($V21="","",N($M21)*($V21+IF(Setup!$B$4="Yes",$X21,0)))</f>
      </c>
      <c r="Z21" s="15">
        <f>IF($V21="","",$V21+$X21+$Y21)</f>
      </c>
      <c r="AA21" s="15">
        <f>IF(OR($Z21="",$W21=""),"",$Z21*$W21)</f>
      </c>
      <c r="AB21" s="16">
        <f>IF($AA21="","",$AA21/$R21)</f>
      </c>
      <c r="AC21" s="17">
        <f>IF($T21="","",$T21-$R21)</f>
      </c>
      <c r="AD21" s="3">
        <f>IF($A21="","",IF($Q21="Unknown line","Line not on Lines",IF($S21="","Supplier not on Suppliers",IF($F21="","No price",IF($W21="","Exchange rate missing — left out","OK")))))</f>
      </c>
      <c r="AE21" s="17">
        <f>IF($AB21="","",COUNTIFS($A$5:$A$84,$A21,$AB$5:$AB$84,"&lt;"&amp;$AB21)+1)</f>
      </c>
      <c r="AF21" s="3">
        <f>IF($AE21=1,"Best","")</f>
      </c>
      <c r="AG21" s="17">
        <f>IF($T21="","",IF(AND($G21&lt;&gt;"",$H21&lt;&gt;"",$T21&lt;N($G21)),$G21,IF(AND($I21&lt;&gt;"",$J21&lt;&gt;"",$T21&lt;N($I21)),$I21,IF(AND($K21&lt;&gt;"",$L21&lt;&gt;"",$T21&lt;N($K21)),$K21,""))))</f>
      </c>
      <c r="AH21" s="15">
        <f>IF($AG21="","",CEILING($AG21,IF(N($D21)&gt;0,$D21,1))*IF($AG21=$G21,$H21,IF($AG21=$I21,$J21,$L21)))</f>
      </c>
      <c r="AI21" s="3">
        <f>IF($AH21="","",IF($AH21&lt;$V21,"Ordering "&amp;TEXT(CEILING($AG21,IF(N($D21)&gt;0,$D21,1)),"0")&amp;" costs "&amp;TEXT($V21-$AH21,"0.00")&amp;" less in goods",""))</f>
      </c>
      <c r="AJ21" s="3">
        <f>IF($AE21="","",$A21&amp;"#"&amp;$AE21)</f>
      </c>
      <c r="AK21" s="17">
        <f>IF(OR($A21="",$B21=""),0,IF(IFERROR(INDEX(Award!$D$5:$D$34,MATCH($A21,Award!$A$5:$A$34,0))&amp;"","")=$B21,1,0))</f>
      </c>
      <c r="AL21" s="15">
        <f>IF(OR($AK21&lt;&gt;1,$V21=""),"",IFERROR(INDEX(Suppliers!$N$5:$N$12,MATCH($B21,Suppliers!$A$5:$A$12,0))*$V21/INDEX(Suppliers!$L$5:$L$12,MATCH($B21,Suppliers!$A$5:$A$12,0)),0))</f>
      </c>
      <c r="AM21" s="15">
        <f>IF($AL21="","",N($M21)*($V21+IF(Setup!$B$4="Yes",$AL21,0)))</f>
      </c>
      <c r="AN21" s="15">
        <f>IF(OR($AL21="",$W21=""),"",($V21+$AL21+$AM21)*$W21)</f>
      </c>
    </row>
    <row r="22">
      <c r="A22" s="13"/>
      <c r="B22" s="6"/>
      <c r="C22" s="13"/>
      <c r="D22" s="13"/>
      <c r="E22" s="13"/>
      <c r="F22" s="22"/>
      <c r="G22" s="13"/>
      <c r="H22" s="22"/>
      <c r="I22" s="13"/>
      <c r="J22" s="22"/>
      <c r="K22" s="13"/>
      <c r="L22" s="22"/>
      <c r="M22" s="14"/>
      <c r="N22" s="13"/>
      <c r="O22" s="7"/>
      <c r="P22" s="6"/>
      <c r="Q22" s="3">
        <f>IF($A22="","",IFERROR(INDEX(Lines!$B$5:$B$34,MATCH($A22,Lines!$A$5:$A$34,0)),"Unknown line"))</f>
      </c>
      <c r="R22" s="17">
        <f>IF($A22="","",IFERROR(INDEX(Lines!$D$5:$D$34,MATCH($A22,Lines!$A$5:$A$34,0)),""))</f>
      </c>
      <c r="S22" s="3">
        <f>IF($B22="","",IFERROR(INDEX(Suppliers!$B$5:$B$12,MATCH($B22,Suppliers!$A$5:$A$12,0))&amp;"",""))</f>
      </c>
      <c r="T22" s="17">
        <f>IF(OR(N($R22)&lt;=0,$F22=""),"",CEILING(MAX($R22,N($C22),N($E22)),IF(N($D22)&gt;0,$D22,1)))</f>
      </c>
      <c r="U22" s="16">
        <f>IF($T22="","",IF(AND($K22&lt;&gt;"",$L22&lt;&gt;"",$T22&gt;=N($K22)),$L22,IF(AND($I22&lt;&gt;"",$J22&lt;&gt;"",$T22&gt;=N($I22)),$J22,IF(AND($G22&lt;&gt;"",$H22&lt;&gt;"",$T22&gt;=N($G22)),$H22,$F22))))</f>
      </c>
      <c r="V22" s="15">
        <f>IF($T22="","",$T22*$U22)</f>
      </c>
      <c r="W22" s="16">
        <f>IF($S22="","",IF($S22=Setup!$B$3,1,IFERROR(IF(N(INDEX(Setup!$B$8:$B$17,MATCH($S22,Setup!$A$8:$A$17,0)))&gt;0,INDEX(Setup!$B$8:$B$17,MATCH($S22,Setup!$A$8:$A$17,0)),""),"")))</f>
      </c>
      <c r="X22" s="15">
        <f>IF($V22="","",IFERROR(INDEX(Suppliers!$K$5:$K$12,MATCH($B22,Suppliers!$A$5:$A$12,0))*$V22/INDEX(Suppliers!$I$5:$I$12,MATCH($B22,Suppliers!$A$5:$A$12,0)),0))</f>
      </c>
      <c r="Y22" s="15">
        <f>IF($V22="","",N($M22)*($V22+IF(Setup!$B$4="Yes",$X22,0)))</f>
      </c>
      <c r="Z22" s="15">
        <f>IF($V22="","",$V22+$X22+$Y22)</f>
      </c>
      <c r="AA22" s="15">
        <f>IF(OR($Z22="",$W22=""),"",$Z22*$W22)</f>
      </c>
      <c r="AB22" s="16">
        <f>IF($AA22="","",$AA22/$R22)</f>
      </c>
      <c r="AC22" s="17">
        <f>IF($T22="","",$T22-$R22)</f>
      </c>
      <c r="AD22" s="3">
        <f>IF($A22="","",IF($Q22="Unknown line","Line not on Lines",IF($S22="","Supplier not on Suppliers",IF($F22="","No price",IF($W22="","Exchange rate missing — left out","OK")))))</f>
      </c>
      <c r="AE22" s="17">
        <f>IF($AB22="","",COUNTIFS($A$5:$A$84,$A22,$AB$5:$AB$84,"&lt;"&amp;$AB22)+1)</f>
      </c>
      <c r="AF22" s="3">
        <f>IF($AE22=1,"Best","")</f>
      </c>
      <c r="AG22" s="17">
        <f>IF($T22="","",IF(AND($G22&lt;&gt;"",$H22&lt;&gt;"",$T22&lt;N($G22)),$G22,IF(AND($I22&lt;&gt;"",$J22&lt;&gt;"",$T22&lt;N($I22)),$I22,IF(AND($K22&lt;&gt;"",$L22&lt;&gt;"",$T22&lt;N($K22)),$K22,""))))</f>
      </c>
      <c r="AH22" s="15">
        <f>IF($AG22="","",CEILING($AG22,IF(N($D22)&gt;0,$D22,1))*IF($AG22=$G22,$H22,IF($AG22=$I22,$J22,$L22)))</f>
      </c>
      <c r="AI22" s="3">
        <f>IF($AH22="","",IF($AH22&lt;$V22,"Ordering "&amp;TEXT(CEILING($AG22,IF(N($D22)&gt;0,$D22,1)),"0")&amp;" costs "&amp;TEXT($V22-$AH22,"0.00")&amp;" less in goods",""))</f>
      </c>
      <c r="AJ22" s="3">
        <f>IF($AE22="","",$A22&amp;"#"&amp;$AE22)</f>
      </c>
      <c r="AK22" s="17">
        <f>IF(OR($A22="",$B22=""),0,IF(IFERROR(INDEX(Award!$D$5:$D$34,MATCH($A22,Award!$A$5:$A$34,0))&amp;"","")=$B22,1,0))</f>
      </c>
      <c r="AL22" s="15">
        <f>IF(OR($AK22&lt;&gt;1,$V22=""),"",IFERROR(INDEX(Suppliers!$N$5:$N$12,MATCH($B22,Suppliers!$A$5:$A$12,0))*$V22/INDEX(Suppliers!$L$5:$L$12,MATCH($B22,Suppliers!$A$5:$A$12,0)),0))</f>
      </c>
      <c r="AM22" s="15">
        <f>IF($AL22="","",N($M22)*($V22+IF(Setup!$B$4="Yes",$AL22,0)))</f>
      </c>
      <c r="AN22" s="15">
        <f>IF(OR($AL22="",$W22=""),"",($V22+$AL22+$AM22)*$W22)</f>
      </c>
    </row>
    <row r="23">
      <c r="A23" s="13"/>
      <c r="B23" s="6"/>
      <c r="C23" s="13"/>
      <c r="D23" s="13"/>
      <c r="E23" s="13"/>
      <c r="F23" s="22"/>
      <c r="G23" s="13"/>
      <c r="H23" s="22"/>
      <c r="I23" s="13"/>
      <c r="J23" s="22"/>
      <c r="K23" s="13"/>
      <c r="L23" s="22"/>
      <c r="M23" s="14"/>
      <c r="N23" s="13"/>
      <c r="O23" s="7"/>
      <c r="P23" s="6"/>
      <c r="Q23" s="3">
        <f>IF($A23="","",IFERROR(INDEX(Lines!$B$5:$B$34,MATCH($A23,Lines!$A$5:$A$34,0)),"Unknown line"))</f>
      </c>
      <c r="R23" s="17">
        <f>IF($A23="","",IFERROR(INDEX(Lines!$D$5:$D$34,MATCH($A23,Lines!$A$5:$A$34,0)),""))</f>
      </c>
      <c r="S23" s="3">
        <f>IF($B23="","",IFERROR(INDEX(Suppliers!$B$5:$B$12,MATCH($B23,Suppliers!$A$5:$A$12,0))&amp;"",""))</f>
      </c>
      <c r="T23" s="17">
        <f>IF(OR(N($R23)&lt;=0,$F23=""),"",CEILING(MAX($R23,N($C23),N($E23)),IF(N($D23)&gt;0,$D23,1)))</f>
      </c>
      <c r="U23" s="16">
        <f>IF($T23="","",IF(AND($K23&lt;&gt;"",$L23&lt;&gt;"",$T23&gt;=N($K23)),$L23,IF(AND($I23&lt;&gt;"",$J23&lt;&gt;"",$T23&gt;=N($I23)),$J23,IF(AND($G23&lt;&gt;"",$H23&lt;&gt;"",$T23&gt;=N($G23)),$H23,$F23))))</f>
      </c>
      <c r="V23" s="15">
        <f>IF($T23="","",$T23*$U23)</f>
      </c>
      <c r="W23" s="16">
        <f>IF($S23="","",IF($S23=Setup!$B$3,1,IFERROR(IF(N(INDEX(Setup!$B$8:$B$17,MATCH($S23,Setup!$A$8:$A$17,0)))&gt;0,INDEX(Setup!$B$8:$B$17,MATCH($S23,Setup!$A$8:$A$17,0)),""),"")))</f>
      </c>
      <c r="X23" s="15">
        <f>IF($V23="","",IFERROR(INDEX(Suppliers!$K$5:$K$12,MATCH($B23,Suppliers!$A$5:$A$12,0))*$V23/INDEX(Suppliers!$I$5:$I$12,MATCH($B23,Suppliers!$A$5:$A$12,0)),0))</f>
      </c>
      <c r="Y23" s="15">
        <f>IF($V23="","",N($M23)*($V23+IF(Setup!$B$4="Yes",$X23,0)))</f>
      </c>
      <c r="Z23" s="15">
        <f>IF($V23="","",$V23+$X23+$Y23)</f>
      </c>
      <c r="AA23" s="15">
        <f>IF(OR($Z23="",$W23=""),"",$Z23*$W23)</f>
      </c>
      <c r="AB23" s="16">
        <f>IF($AA23="","",$AA23/$R23)</f>
      </c>
      <c r="AC23" s="17">
        <f>IF($T23="","",$T23-$R23)</f>
      </c>
      <c r="AD23" s="3">
        <f>IF($A23="","",IF($Q23="Unknown line","Line not on Lines",IF($S23="","Supplier not on Suppliers",IF($F23="","No price",IF($W23="","Exchange rate missing — left out","OK")))))</f>
      </c>
      <c r="AE23" s="17">
        <f>IF($AB23="","",COUNTIFS($A$5:$A$84,$A23,$AB$5:$AB$84,"&lt;"&amp;$AB23)+1)</f>
      </c>
      <c r="AF23" s="3">
        <f>IF($AE23=1,"Best","")</f>
      </c>
      <c r="AG23" s="17">
        <f>IF($T23="","",IF(AND($G23&lt;&gt;"",$H23&lt;&gt;"",$T23&lt;N($G23)),$G23,IF(AND($I23&lt;&gt;"",$J23&lt;&gt;"",$T23&lt;N($I23)),$I23,IF(AND($K23&lt;&gt;"",$L23&lt;&gt;"",$T23&lt;N($K23)),$K23,""))))</f>
      </c>
      <c r="AH23" s="15">
        <f>IF($AG23="","",CEILING($AG23,IF(N($D23)&gt;0,$D23,1))*IF($AG23=$G23,$H23,IF($AG23=$I23,$J23,$L23)))</f>
      </c>
      <c r="AI23" s="3">
        <f>IF($AH23="","",IF($AH23&lt;$V23,"Ordering "&amp;TEXT(CEILING($AG23,IF(N($D23)&gt;0,$D23,1)),"0")&amp;" costs "&amp;TEXT($V23-$AH23,"0.00")&amp;" less in goods",""))</f>
      </c>
      <c r="AJ23" s="3">
        <f>IF($AE23="","",$A23&amp;"#"&amp;$AE23)</f>
      </c>
      <c r="AK23" s="17">
        <f>IF(OR($A23="",$B23=""),0,IF(IFERROR(INDEX(Award!$D$5:$D$34,MATCH($A23,Award!$A$5:$A$34,0))&amp;"","")=$B23,1,0))</f>
      </c>
      <c r="AL23" s="15">
        <f>IF(OR($AK23&lt;&gt;1,$V23=""),"",IFERROR(INDEX(Suppliers!$N$5:$N$12,MATCH($B23,Suppliers!$A$5:$A$12,0))*$V23/INDEX(Suppliers!$L$5:$L$12,MATCH($B23,Suppliers!$A$5:$A$12,0)),0))</f>
      </c>
      <c r="AM23" s="15">
        <f>IF($AL23="","",N($M23)*($V23+IF(Setup!$B$4="Yes",$AL23,0)))</f>
      </c>
      <c r="AN23" s="15">
        <f>IF(OR($AL23="",$W23=""),"",($V23+$AL23+$AM23)*$W23)</f>
      </c>
    </row>
    <row r="24">
      <c r="A24" s="13"/>
      <c r="B24" s="6"/>
      <c r="C24" s="13"/>
      <c r="D24" s="13"/>
      <c r="E24" s="13"/>
      <c r="F24" s="22"/>
      <c r="G24" s="13"/>
      <c r="H24" s="22"/>
      <c r="I24" s="13"/>
      <c r="J24" s="22"/>
      <c r="K24" s="13"/>
      <c r="L24" s="22"/>
      <c r="M24" s="14"/>
      <c r="N24" s="13"/>
      <c r="O24" s="7"/>
      <c r="P24" s="6"/>
      <c r="Q24" s="3">
        <f>IF($A24="","",IFERROR(INDEX(Lines!$B$5:$B$34,MATCH($A24,Lines!$A$5:$A$34,0)),"Unknown line"))</f>
      </c>
      <c r="R24" s="17">
        <f>IF($A24="","",IFERROR(INDEX(Lines!$D$5:$D$34,MATCH($A24,Lines!$A$5:$A$34,0)),""))</f>
      </c>
      <c r="S24" s="3">
        <f>IF($B24="","",IFERROR(INDEX(Suppliers!$B$5:$B$12,MATCH($B24,Suppliers!$A$5:$A$12,0))&amp;"",""))</f>
      </c>
      <c r="T24" s="17">
        <f>IF(OR(N($R24)&lt;=0,$F24=""),"",CEILING(MAX($R24,N($C24),N($E24)),IF(N($D24)&gt;0,$D24,1)))</f>
      </c>
      <c r="U24" s="16">
        <f>IF($T24="","",IF(AND($K24&lt;&gt;"",$L24&lt;&gt;"",$T24&gt;=N($K24)),$L24,IF(AND($I24&lt;&gt;"",$J24&lt;&gt;"",$T24&gt;=N($I24)),$J24,IF(AND($G24&lt;&gt;"",$H24&lt;&gt;"",$T24&gt;=N($G24)),$H24,$F24))))</f>
      </c>
      <c r="V24" s="15">
        <f>IF($T24="","",$T24*$U24)</f>
      </c>
      <c r="W24" s="16">
        <f>IF($S24="","",IF($S24=Setup!$B$3,1,IFERROR(IF(N(INDEX(Setup!$B$8:$B$17,MATCH($S24,Setup!$A$8:$A$17,0)))&gt;0,INDEX(Setup!$B$8:$B$17,MATCH($S24,Setup!$A$8:$A$17,0)),""),"")))</f>
      </c>
      <c r="X24" s="15">
        <f>IF($V24="","",IFERROR(INDEX(Suppliers!$K$5:$K$12,MATCH($B24,Suppliers!$A$5:$A$12,0))*$V24/INDEX(Suppliers!$I$5:$I$12,MATCH($B24,Suppliers!$A$5:$A$12,0)),0))</f>
      </c>
      <c r="Y24" s="15">
        <f>IF($V24="","",N($M24)*($V24+IF(Setup!$B$4="Yes",$X24,0)))</f>
      </c>
      <c r="Z24" s="15">
        <f>IF($V24="","",$V24+$X24+$Y24)</f>
      </c>
      <c r="AA24" s="15">
        <f>IF(OR($Z24="",$W24=""),"",$Z24*$W24)</f>
      </c>
      <c r="AB24" s="16">
        <f>IF($AA24="","",$AA24/$R24)</f>
      </c>
      <c r="AC24" s="17">
        <f>IF($T24="","",$T24-$R24)</f>
      </c>
      <c r="AD24" s="3">
        <f>IF($A24="","",IF($Q24="Unknown line","Line not on Lines",IF($S24="","Supplier not on Suppliers",IF($F24="","No price",IF($W24="","Exchange rate missing — left out","OK")))))</f>
      </c>
      <c r="AE24" s="17">
        <f>IF($AB24="","",COUNTIFS($A$5:$A$84,$A24,$AB$5:$AB$84,"&lt;"&amp;$AB24)+1)</f>
      </c>
      <c r="AF24" s="3">
        <f>IF($AE24=1,"Best","")</f>
      </c>
      <c r="AG24" s="17">
        <f>IF($T24="","",IF(AND($G24&lt;&gt;"",$H24&lt;&gt;"",$T24&lt;N($G24)),$G24,IF(AND($I24&lt;&gt;"",$J24&lt;&gt;"",$T24&lt;N($I24)),$I24,IF(AND($K24&lt;&gt;"",$L24&lt;&gt;"",$T24&lt;N($K24)),$K24,""))))</f>
      </c>
      <c r="AH24" s="15">
        <f>IF($AG24="","",CEILING($AG24,IF(N($D24)&gt;0,$D24,1))*IF($AG24=$G24,$H24,IF($AG24=$I24,$J24,$L24)))</f>
      </c>
      <c r="AI24" s="3">
        <f>IF($AH24="","",IF($AH24&lt;$V24,"Ordering "&amp;TEXT(CEILING($AG24,IF(N($D24)&gt;0,$D24,1)),"0")&amp;" costs "&amp;TEXT($V24-$AH24,"0.00")&amp;" less in goods",""))</f>
      </c>
      <c r="AJ24" s="3">
        <f>IF($AE24="","",$A24&amp;"#"&amp;$AE24)</f>
      </c>
      <c r="AK24" s="17">
        <f>IF(OR($A24="",$B24=""),0,IF(IFERROR(INDEX(Award!$D$5:$D$34,MATCH($A24,Award!$A$5:$A$34,0))&amp;"","")=$B24,1,0))</f>
      </c>
      <c r="AL24" s="15">
        <f>IF(OR($AK24&lt;&gt;1,$V24=""),"",IFERROR(INDEX(Suppliers!$N$5:$N$12,MATCH($B24,Suppliers!$A$5:$A$12,0))*$V24/INDEX(Suppliers!$L$5:$L$12,MATCH($B24,Suppliers!$A$5:$A$12,0)),0))</f>
      </c>
      <c r="AM24" s="15">
        <f>IF($AL24="","",N($M24)*($V24+IF(Setup!$B$4="Yes",$AL24,0)))</f>
      </c>
      <c r="AN24" s="15">
        <f>IF(OR($AL24="",$W24=""),"",($V24+$AL24+$AM24)*$W24)</f>
      </c>
    </row>
    <row r="25">
      <c r="A25" s="13"/>
      <c r="B25" s="6"/>
      <c r="C25" s="13"/>
      <c r="D25" s="13"/>
      <c r="E25" s="13"/>
      <c r="F25" s="22"/>
      <c r="G25" s="13"/>
      <c r="H25" s="22"/>
      <c r="I25" s="13"/>
      <c r="J25" s="22"/>
      <c r="K25" s="13"/>
      <c r="L25" s="22"/>
      <c r="M25" s="14"/>
      <c r="N25" s="13"/>
      <c r="O25" s="7"/>
      <c r="P25" s="6"/>
      <c r="Q25" s="3">
        <f>IF($A25="","",IFERROR(INDEX(Lines!$B$5:$B$34,MATCH($A25,Lines!$A$5:$A$34,0)),"Unknown line"))</f>
      </c>
      <c r="R25" s="17">
        <f>IF($A25="","",IFERROR(INDEX(Lines!$D$5:$D$34,MATCH($A25,Lines!$A$5:$A$34,0)),""))</f>
      </c>
      <c r="S25" s="3">
        <f>IF($B25="","",IFERROR(INDEX(Suppliers!$B$5:$B$12,MATCH($B25,Suppliers!$A$5:$A$12,0))&amp;"",""))</f>
      </c>
      <c r="T25" s="17">
        <f>IF(OR(N($R25)&lt;=0,$F25=""),"",CEILING(MAX($R25,N($C25),N($E25)),IF(N($D25)&gt;0,$D25,1)))</f>
      </c>
      <c r="U25" s="16">
        <f>IF($T25="","",IF(AND($K25&lt;&gt;"",$L25&lt;&gt;"",$T25&gt;=N($K25)),$L25,IF(AND($I25&lt;&gt;"",$J25&lt;&gt;"",$T25&gt;=N($I25)),$J25,IF(AND($G25&lt;&gt;"",$H25&lt;&gt;"",$T25&gt;=N($G25)),$H25,$F25))))</f>
      </c>
      <c r="V25" s="15">
        <f>IF($T25="","",$T25*$U25)</f>
      </c>
      <c r="W25" s="16">
        <f>IF($S25="","",IF($S25=Setup!$B$3,1,IFERROR(IF(N(INDEX(Setup!$B$8:$B$17,MATCH($S25,Setup!$A$8:$A$17,0)))&gt;0,INDEX(Setup!$B$8:$B$17,MATCH($S25,Setup!$A$8:$A$17,0)),""),"")))</f>
      </c>
      <c r="X25" s="15">
        <f>IF($V25="","",IFERROR(INDEX(Suppliers!$K$5:$K$12,MATCH($B25,Suppliers!$A$5:$A$12,0))*$V25/INDEX(Suppliers!$I$5:$I$12,MATCH($B25,Suppliers!$A$5:$A$12,0)),0))</f>
      </c>
      <c r="Y25" s="15">
        <f>IF($V25="","",N($M25)*($V25+IF(Setup!$B$4="Yes",$X25,0)))</f>
      </c>
      <c r="Z25" s="15">
        <f>IF($V25="","",$V25+$X25+$Y25)</f>
      </c>
      <c r="AA25" s="15">
        <f>IF(OR($Z25="",$W25=""),"",$Z25*$W25)</f>
      </c>
      <c r="AB25" s="16">
        <f>IF($AA25="","",$AA25/$R25)</f>
      </c>
      <c r="AC25" s="17">
        <f>IF($T25="","",$T25-$R25)</f>
      </c>
      <c r="AD25" s="3">
        <f>IF($A25="","",IF($Q25="Unknown line","Line not on Lines",IF($S25="","Supplier not on Suppliers",IF($F25="","No price",IF($W25="","Exchange rate missing — left out","OK")))))</f>
      </c>
      <c r="AE25" s="17">
        <f>IF($AB25="","",COUNTIFS($A$5:$A$84,$A25,$AB$5:$AB$84,"&lt;"&amp;$AB25)+1)</f>
      </c>
      <c r="AF25" s="3">
        <f>IF($AE25=1,"Best","")</f>
      </c>
      <c r="AG25" s="17">
        <f>IF($T25="","",IF(AND($G25&lt;&gt;"",$H25&lt;&gt;"",$T25&lt;N($G25)),$G25,IF(AND($I25&lt;&gt;"",$J25&lt;&gt;"",$T25&lt;N($I25)),$I25,IF(AND($K25&lt;&gt;"",$L25&lt;&gt;"",$T25&lt;N($K25)),$K25,""))))</f>
      </c>
      <c r="AH25" s="15">
        <f>IF($AG25="","",CEILING($AG25,IF(N($D25)&gt;0,$D25,1))*IF($AG25=$G25,$H25,IF($AG25=$I25,$J25,$L25)))</f>
      </c>
      <c r="AI25" s="3">
        <f>IF($AH25="","",IF($AH25&lt;$V25,"Ordering "&amp;TEXT(CEILING($AG25,IF(N($D25)&gt;0,$D25,1)),"0")&amp;" costs "&amp;TEXT($V25-$AH25,"0.00")&amp;" less in goods",""))</f>
      </c>
      <c r="AJ25" s="3">
        <f>IF($AE25="","",$A25&amp;"#"&amp;$AE25)</f>
      </c>
      <c r="AK25" s="17">
        <f>IF(OR($A25="",$B25=""),0,IF(IFERROR(INDEX(Award!$D$5:$D$34,MATCH($A25,Award!$A$5:$A$34,0))&amp;"","")=$B25,1,0))</f>
      </c>
      <c r="AL25" s="15">
        <f>IF(OR($AK25&lt;&gt;1,$V25=""),"",IFERROR(INDEX(Suppliers!$N$5:$N$12,MATCH($B25,Suppliers!$A$5:$A$12,0))*$V25/INDEX(Suppliers!$L$5:$L$12,MATCH($B25,Suppliers!$A$5:$A$12,0)),0))</f>
      </c>
      <c r="AM25" s="15">
        <f>IF($AL25="","",N($M25)*($V25+IF(Setup!$B$4="Yes",$AL25,0)))</f>
      </c>
      <c r="AN25" s="15">
        <f>IF(OR($AL25="",$W25=""),"",($V25+$AL25+$AM25)*$W25)</f>
      </c>
    </row>
    <row r="26">
      <c r="A26" s="13"/>
      <c r="B26" s="6"/>
      <c r="C26" s="13"/>
      <c r="D26" s="13"/>
      <c r="E26" s="13"/>
      <c r="F26" s="22"/>
      <c r="G26" s="13"/>
      <c r="H26" s="22"/>
      <c r="I26" s="13"/>
      <c r="J26" s="22"/>
      <c r="K26" s="13"/>
      <c r="L26" s="22"/>
      <c r="M26" s="14"/>
      <c r="N26" s="13"/>
      <c r="O26" s="7"/>
      <c r="P26" s="6"/>
      <c r="Q26" s="3">
        <f>IF($A26="","",IFERROR(INDEX(Lines!$B$5:$B$34,MATCH($A26,Lines!$A$5:$A$34,0)),"Unknown line"))</f>
      </c>
      <c r="R26" s="17">
        <f>IF($A26="","",IFERROR(INDEX(Lines!$D$5:$D$34,MATCH($A26,Lines!$A$5:$A$34,0)),""))</f>
      </c>
      <c r="S26" s="3">
        <f>IF($B26="","",IFERROR(INDEX(Suppliers!$B$5:$B$12,MATCH($B26,Suppliers!$A$5:$A$12,0))&amp;"",""))</f>
      </c>
      <c r="T26" s="17">
        <f>IF(OR(N($R26)&lt;=0,$F26=""),"",CEILING(MAX($R26,N($C26),N($E26)),IF(N($D26)&gt;0,$D26,1)))</f>
      </c>
      <c r="U26" s="16">
        <f>IF($T26="","",IF(AND($K26&lt;&gt;"",$L26&lt;&gt;"",$T26&gt;=N($K26)),$L26,IF(AND($I26&lt;&gt;"",$J26&lt;&gt;"",$T26&gt;=N($I26)),$J26,IF(AND($G26&lt;&gt;"",$H26&lt;&gt;"",$T26&gt;=N($G26)),$H26,$F26))))</f>
      </c>
      <c r="V26" s="15">
        <f>IF($T26="","",$T26*$U26)</f>
      </c>
      <c r="W26" s="16">
        <f>IF($S26="","",IF($S26=Setup!$B$3,1,IFERROR(IF(N(INDEX(Setup!$B$8:$B$17,MATCH($S26,Setup!$A$8:$A$17,0)))&gt;0,INDEX(Setup!$B$8:$B$17,MATCH($S26,Setup!$A$8:$A$17,0)),""),"")))</f>
      </c>
      <c r="X26" s="15">
        <f>IF($V26="","",IFERROR(INDEX(Suppliers!$K$5:$K$12,MATCH($B26,Suppliers!$A$5:$A$12,0))*$V26/INDEX(Suppliers!$I$5:$I$12,MATCH($B26,Suppliers!$A$5:$A$12,0)),0))</f>
      </c>
      <c r="Y26" s="15">
        <f>IF($V26="","",N($M26)*($V26+IF(Setup!$B$4="Yes",$X26,0)))</f>
      </c>
      <c r="Z26" s="15">
        <f>IF($V26="","",$V26+$X26+$Y26)</f>
      </c>
      <c r="AA26" s="15">
        <f>IF(OR($Z26="",$W26=""),"",$Z26*$W26)</f>
      </c>
      <c r="AB26" s="16">
        <f>IF($AA26="","",$AA26/$R26)</f>
      </c>
      <c r="AC26" s="17">
        <f>IF($T26="","",$T26-$R26)</f>
      </c>
      <c r="AD26" s="3">
        <f>IF($A26="","",IF($Q26="Unknown line","Line not on Lines",IF($S26="","Supplier not on Suppliers",IF($F26="","No price",IF($W26="","Exchange rate missing — left out","OK")))))</f>
      </c>
      <c r="AE26" s="17">
        <f>IF($AB26="","",COUNTIFS($A$5:$A$84,$A26,$AB$5:$AB$84,"&lt;"&amp;$AB26)+1)</f>
      </c>
      <c r="AF26" s="3">
        <f>IF($AE26=1,"Best","")</f>
      </c>
      <c r="AG26" s="17">
        <f>IF($T26="","",IF(AND($G26&lt;&gt;"",$H26&lt;&gt;"",$T26&lt;N($G26)),$G26,IF(AND($I26&lt;&gt;"",$J26&lt;&gt;"",$T26&lt;N($I26)),$I26,IF(AND($K26&lt;&gt;"",$L26&lt;&gt;"",$T26&lt;N($K26)),$K26,""))))</f>
      </c>
      <c r="AH26" s="15">
        <f>IF($AG26="","",CEILING($AG26,IF(N($D26)&gt;0,$D26,1))*IF($AG26=$G26,$H26,IF($AG26=$I26,$J26,$L26)))</f>
      </c>
      <c r="AI26" s="3">
        <f>IF($AH26="","",IF($AH26&lt;$V26,"Ordering "&amp;TEXT(CEILING($AG26,IF(N($D26)&gt;0,$D26,1)),"0")&amp;" costs "&amp;TEXT($V26-$AH26,"0.00")&amp;" less in goods",""))</f>
      </c>
      <c r="AJ26" s="3">
        <f>IF($AE26="","",$A26&amp;"#"&amp;$AE26)</f>
      </c>
      <c r="AK26" s="17">
        <f>IF(OR($A26="",$B26=""),0,IF(IFERROR(INDEX(Award!$D$5:$D$34,MATCH($A26,Award!$A$5:$A$34,0))&amp;"","")=$B26,1,0))</f>
      </c>
      <c r="AL26" s="15">
        <f>IF(OR($AK26&lt;&gt;1,$V26=""),"",IFERROR(INDEX(Suppliers!$N$5:$N$12,MATCH($B26,Suppliers!$A$5:$A$12,0))*$V26/INDEX(Suppliers!$L$5:$L$12,MATCH($B26,Suppliers!$A$5:$A$12,0)),0))</f>
      </c>
      <c r="AM26" s="15">
        <f>IF($AL26="","",N($M26)*($V26+IF(Setup!$B$4="Yes",$AL26,0)))</f>
      </c>
      <c r="AN26" s="15">
        <f>IF(OR($AL26="",$W26=""),"",($V26+$AL26+$AM26)*$W26)</f>
      </c>
    </row>
    <row r="27">
      <c r="A27" s="13"/>
      <c r="B27" s="6"/>
      <c r="C27" s="13"/>
      <c r="D27" s="13"/>
      <c r="E27" s="13"/>
      <c r="F27" s="22"/>
      <c r="G27" s="13"/>
      <c r="H27" s="22"/>
      <c r="I27" s="13"/>
      <c r="J27" s="22"/>
      <c r="K27" s="13"/>
      <c r="L27" s="22"/>
      <c r="M27" s="14"/>
      <c r="N27" s="13"/>
      <c r="O27" s="7"/>
      <c r="P27" s="6"/>
      <c r="Q27" s="3">
        <f>IF($A27="","",IFERROR(INDEX(Lines!$B$5:$B$34,MATCH($A27,Lines!$A$5:$A$34,0)),"Unknown line"))</f>
      </c>
      <c r="R27" s="17">
        <f>IF($A27="","",IFERROR(INDEX(Lines!$D$5:$D$34,MATCH($A27,Lines!$A$5:$A$34,0)),""))</f>
      </c>
      <c r="S27" s="3">
        <f>IF($B27="","",IFERROR(INDEX(Suppliers!$B$5:$B$12,MATCH($B27,Suppliers!$A$5:$A$12,0))&amp;"",""))</f>
      </c>
      <c r="T27" s="17">
        <f>IF(OR(N($R27)&lt;=0,$F27=""),"",CEILING(MAX($R27,N($C27),N($E27)),IF(N($D27)&gt;0,$D27,1)))</f>
      </c>
      <c r="U27" s="16">
        <f>IF($T27="","",IF(AND($K27&lt;&gt;"",$L27&lt;&gt;"",$T27&gt;=N($K27)),$L27,IF(AND($I27&lt;&gt;"",$J27&lt;&gt;"",$T27&gt;=N($I27)),$J27,IF(AND($G27&lt;&gt;"",$H27&lt;&gt;"",$T27&gt;=N($G27)),$H27,$F27))))</f>
      </c>
      <c r="V27" s="15">
        <f>IF($T27="","",$T27*$U27)</f>
      </c>
      <c r="W27" s="16">
        <f>IF($S27="","",IF($S27=Setup!$B$3,1,IFERROR(IF(N(INDEX(Setup!$B$8:$B$17,MATCH($S27,Setup!$A$8:$A$17,0)))&gt;0,INDEX(Setup!$B$8:$B$17,MATCH($S27,Setup!$A$8:$A$17,0)),""),"")))</f>
      </c>
      <c r="X27" s="15">
        <f>IF($V27="","",IFERROR(INDEX(Suppliers!$K$5:$K$12,MATCH($B27,Suppliers!$A$5:$A$12,0))*$V27/INDEX(Suppliers!$I$5:$I$12,MATCH($B27,Suppliers!$A$5:$A$12,0)),0))</f>
      </c>
      <c r="Y27" s="15">
        <f>IF($V27="","",N($M27)*($V27+IF(Setup!$B$4="Yes",$X27,0)))</f>
      </c>
      <c r="Z27" s="15">
        <f>IF($V27="","",$V27+$X27+$Y27)</f>
      </c>
      <c r="AA27" s="15">
        <f>IF(OR($Z27="",$W27=""),"",$Z27*$W27)</f>
      </c>
      <c r="AB27" s="16">
        <f>IF($AA27="","",$AA27/$R27)</f>
      </c>
      <c r="AC27" s="17">
        <f>IF($T27="","",$T27-$R27)</f>
      </c>
      <c r="AD27" s="3">
        <f>IF($A27="","",IF($Q27="Unknown line","Line not on Lines",IF($S27="","Supplier not on Suppliers",IF($F27="","No price",IF($W27="","Exchange rate missing — left out","OK")))))</f>
      </c>
      <c r="AE27" s="17">
        <f>IF($AB27="","",COUNTIFS($A$5:$A$84,$A27,$AB$5:$AB$84,"&lt;"&amp;$AB27)+1)</f>
      </c>
      <c r="AF27" s="3">
        <f>IF($AE27=1,"Best","")</f>
      </c>
      <c r="AG27" s="17">
        <f>IF($T27="","",IF(AND($G27&lt;&gt;"",$H27&lt;&gt;"",$T27&lt;N($G27)),$G27,IF(AND($I27&lt;&gt;"",$J27&lt;&gt;"",$T27&lt;N($I27)),$I27,IF(AND($K27&lt;&gt;"",$L27&lt;&gt;"",$T27&lt;N($K27)),$K27,""))))</f>
      </c>
      <c r="AH27" s="15">
        <f>IF($AG27="","",CEILING($AG27,IF(N($D27)&gt;0,$D27,1))*IF($AG27=$G27,$H27,IF($AG27=$I27,$J27,$L27)))</f>
      </c>
      <c r="AI27" s="3">
        <f>IF($AH27="","",IF($AH27&lt;$V27,"Ordering "&amp;TEXT(CEILING($AG27,IF(N($D27)&gt;0,$D27,1)),"0")&amp;" costs "&amp;TEXT($V27-$AH27,"0.00")&amp;" less in goods",""))</f>
      </c>
      <c r="AJ27" s="3">
        <f>IF($AE27="","",$A27&amp;"#"&amp;$AE27)</f>
      </c>
      <c r="AK27" s="17">
        <f>IF(OR($A27="",$B27=""),0,IF(IFERROR(INDEX(Award!$D$5:$D$34,MATCH($A27,Award!$A$5:$A$34,0))&amp;"","")=$B27,1,0))</f>
      </c>
      <c r="AL27" s="15">
        <f>IF(OR($AK27&lt;&gt;1,$V27=""),"",IFERROR(INDEX(Suppliers!$N$5:$N$12,MATCH($B27,Suppliers!$A$5:$A$12,0))*$V27/INDEX(Suppliers!$L$5:$L$12,MATCH($B27,Suppliers!$A$5:$A$12,0)),0))</f>
      </c>
      <c r="AM27" s="15">
        <f>IF($AL27="","",N($M27)*($V27+IF(Setup!$B$4="Yes",$AL27,0)))</f>
      </c>
      <c r="AN27" s="15">
        <f>IF(OR($AL27="",$W27=""),"",($V27+$AL27+$AM27)*$W27)</f>
      </c>
    </row>
    <row r="28">
      <c r="A28" s="13"/>
      <c r="B28" s="6"/>
      <c r="C28" s="13"/>
      <c r="D28" s="13"/>
      <c r="E28" s="13"/>
      <c r="F28" s="22"/>
      <c r="G28" s="13"/>
      <c r="H28" s="22"/>
      <c r="I28" s="13"/>
      <c r="J28" s="22"/>
      <c r="K28" s="13"/>
      <c r="L28" s="22"/>
      <c r="M28" s="14"/>
      <c r="N28" s="13"/>
      <c r="O28" s="7"/>
      <c r="P28" s="6"/>
      <c r="Q28" s="3">
        <f>IF($A28="","",IFERROR(INDEX(Lines!$B$5:$B$34,MATCH($A28,Lines!$A$5:$A$34,0)),"Unknown line"))</f>
      </c>
      <c r="R28" s="17">
        <f>IF($A28="","",IFERROR(INDEX(Lines!$D$5:$D$34,MATCH($A28,Lines!$A$5:$A$34,0)),""))</f>
      </c>
      <c r="S28" s="3">
        <f>IF($B28="","",IFERROR(INDEX(Suppliers!$B$5:$B$12,MATCH($B28,Suppliers!$A$5:$A$12,0))&amp;"",""))</f>
      </c>
      <c r="T28" s="17">
        <f>IF(OR(N($R28)&lt;=0,$F28=""),"",CEILING(MAX($R28,N($C28),N($E28)),IF(N($D28)&gt;0,$D28,1)))</f>
      </c>
      <c r="U28" s="16">
        <f>IF($T28="","",IF(AND($K28&lt;&gt;"",$L28&lt;&gt;"",$T28&gt;=N($K28)),$L28,IF(AND($I28&lt;&gt;"",$J28&lt;&gt;"",$T28&gt;=N($I28)),$J28,IF(AND($G28&lt;&gt;"",$H28&lt;&gt;"",$T28&gt;=N($G28)),$H28,$F28))))</f>
      </c>
      <c r="V28" s="15">
        <f>IF($T28="","",$T28*$U28)</f>
      </c>
      <c r="W28" s="16">
        <f>IF($S28="","",IF($S28=Setup!$B$3,1,IFERROR(IF(N(INDEX(Setup!$B$8:$B$17,MATCH($S28,Setup!$A$8:$A$17,0)))&gt;0,INDEX(Setup!$B$8:$B$17,MATCH($S28,Setup!$A$8:$A$17,0)),""),"")))</f>
      </c>
      <c r="X28" s="15">
        <f>IF($V28="","",IFERROR(INDEX(Suppliers!$K$5:$K$12,MATCH($B28,Suppliers!$A$5:$A$12,0))*$V28/INDEX(Suppliers!$I$5:$I$12,MATCH($B28,Suppliers!$A$5:$A$12,0)),0))</f>
      </c>
      <c r="Y28" s="15">
        <f>IF($V28="","",N($M28)*($V28+IF(Setup!$B$4="Yes",$X28,0)))</f>
      </c>
      <c r="Z28" s="15">
        <f>IF($V28="","",$V28+$X28+$Y28)</f>
      </c>
      <c r="AA28" s="15">
        <f>IF(OR($Z28="",$W28=""),"",$Z28*$W28)</f>
      </c>
      <c r="AB28" s="16">
        <f>IF($AA28="","",$AA28/$R28)</f>
      </c>
      <c r="AC28" s="17">
        <f>IF($T28="","",$T28-$R28)</f>
      </c>
      <c r="AD28" s="3">
        <f>IF($A28="","",IF($Q28="Unknown line","Line not on Lines",IF($S28="","Supplier not on Suppliers",IF($F28="","No price",IF($W28="","Exchange rate missing — left out","OK")))))</f>
      </c>
      <c r="AE28" s="17">
        <f>IF($AB28="","",COUNTIFS($A$5:$A$84,$A28,$AB$5:$AB$84,"&lt;"&amp;$AB28)+1)</f>
      </c>
      <c r="AF28" s="3">
        <f>IF($AE28=1,"Best","")</f>
      </c>
      <c r="AG28" s="17">
        <f>IF($T28="","",IF(AND($G28&lt;&gt;"",$H28&lt;&gt;"",$T28&lt;N($G28)),$G28,IF(AND($I28&lt;&gt;"",$J28&lt;&gt;"",$T28&lt;N($I28)),$I28,IF(AND($K28&lt;&gt;"",$L28&lt;&gt;"",$T28&lt;N($K28)),$K28,""))))</f>
      </c>
      <c r="AH28" s="15">
        <f>IF($AG28="","",CEILING($AG28,IF(N($D28)&gt;0,$D28,1))*IF($AG28=$G28,$H28,IF($AG28=$I28,$J28,$L28)))</f>
      </c>
      <c r="AI28" s="3">
        <f>IF($AH28="","",IF($AH28&lt;$V28,"Ordering "&amp;TEXT(CEILING($AG28,IF(N($D28)&gt;0,$D28,1)),"0")&amp;" costs "&amp;TEXT($V28-$AH28,"0.00")&amp;" less in goods",""))</f>
      </c>
      <c r="AJ28" s="3">
        <f>IF($AE28="","",$A28&amp;"#"&amp;$AE28)</f>
      </c>
      <c r="AK28" s="17">
        <f>IF(OR($A28="",$B28=""),0,IF(IFERROR(INDEX(Award!$D$5:$D$34,MATCH($A28,Award!$A$5:$A$34,0))&amp;"","")=$B28,1,0))</f>
      </c>
      <c r="AL28" s="15">
        <f>IF(OR($AK28&lt;&gt;1,$V28=""),"",IFERROR(INDEX(Suppliers!$N$5:$N$12,MATCH($B28,Suppliers!$A$5:$A$12,0))*$V28/INDEX(Suppliers!$L$5:$L$12,MATCH($B28,Suppliers!$A$5:$A$12,0)),0))</f>
      </c>
      <c r="AM28" s="15">
        <f>IF($AL28="","",N($M28)*($V28+IF(Setup!$B$4="Yes",$AL28,0)))</f>
      </c>
      <c r="AN28" s="15">
        <f>IF(OR($AL28="",$W28=""),"",($V28+$AL28+$AM28)*$W28)</f>
      </c>
    </row>
    <row r="29">
      <c r="A29" s="13"/>
      <c r="B29" s="6"/>
      <c r="C29" s="13"/>
      <c r="D29" s="13"/>
      <c r="E29" s="13"/>
      <c r="F29" s="22"/>
      <c r="G29" s="13"/>
      <c r="H29" s="22"/>
      <c r="I29" s="13"/>
      <c r="J29" s="22"/>
      <c r="K29" s="13"/>
      <c r="L29" s="22"/>
      <c r="M29" s="14"/>
      <c r="N29" s="13"/>
      <c r="O29" s="7"/>
      <c r="P29" s="6"/>
      <c r="Q29" s="3">
        <f>IF($A29="","",IFERROR(INDEX(Lines!$B$5:$B$34,MATCH($A29,Lines!$A$5:$A$34,0)),"Unknown line"))</f>
      </c>
      <c r="R29" s="17">
        <f>IF($A29="","",IFERROR(INDEX(Lines!$D$5:$D$34,MATCH($A29,Lines!$A$5:$A$34,0)),""))</f>
      </c>
      <c r="S29" s="3">
        <f>IF($B29="","",IFERROR(INDEX(Suppliers!$B$5:$B$12,MATCH($B29,Suppliers!$A$5:$A$12,0))&amp;"",""))</f>
      </c>
      <c r="T29" s="17">
        <f>IF(OR(N($R29)&lt;=0,$F29=""),"",CEILING(MAX($R29,N($C29),N($E29)),IF(N($D29)&gt;0,$D29,1)))</f>
      </c>
      <c r="U29" s="16">
        <f>IF($T29="","",IF(AND($K29&lt;&gt;"",$L29&lt;&gt;"",$T29&gt;=N($K29)),$L29,IF(AND($I29&lt;&gt;"",$J29&lt;&gt;"",$T29&gt;=N($I29)),$J29,IF(AND($G29&lt;&gt;"",$H29&lt;&gt;"",$T29&gt;=N($G29)),$H29,$F29))))</f>
      </c>
      <c r="V29" s="15">
        <f>IF($T29="","",$T29*$U29)</f>
      </c>
      <c r="W29" s="16">
        <f>IF($S29="","",IF($S29=Setup!$B$3,1,IFERROR(IF(N(INDEX(Setup!$B$8:$B$17,MATCH($S29,Setup!$A$8:$A$17,0)))&gt;0,INDEX(Setup!$B$8:$B$17,MATCH($S29,Setup!$A$8:$A$17,0)),""),"")))</f>
      </c>
      <c r="X29" s="15">
        <f>IF($V29="","",IFERROR(INDEX(Suppliers!$K$5:$K$12,MATCH($B29,Suppliers!$A$5:$A$12,0))*$V29/INDEX(Suppliers!$I$5:$I$12,MATCH($B29,Suppliers!$A$5:$A$12,0)),0))</f>
      </c>
      <c r="Y29" s="15">
        <f>IF($V29="","",N($M29)*($V29+IF(Setup!$B$4="Yes",$X29,0)))</f>
      </c>
      <c r="Z29" s="15">
        <f>IF($V29="","",$V29+$X29+$Y29)</f>
      </c>
      <c r="AA29" s="15">
        <f>IF(OR($Z29="",$W29=""),"",$Z29*$W29)</f>
      </c>
      <c r="AB29" s="16">
        <f>IF($AA29="","",$AA29/$R29)</f>
      </c>
      <c r="AC29" s="17">
        <f>IF($T29="","",$T29-$R29)</f>
      </c>
      <c r="AD29" s="3">
        <f>IF($A29="","",IF($Q29="Unknown line","Line not on Lines",IF($S29="","Supplier not on Suppliers",IF($F29="","No price",IF($W29="","Exchange rate missing — left out","OK")))))</f>
      </c>
      <c r="AE29" s="17">
        <f>IF($AB29="","",COUNTIFS($A$5:$A$84,$A29,$AB$5:$AB$84,"&lt;"&amp;$AB29)+1)</f>
      </c>
      <c r="AF29" s="3">
        <f>IF($AE29=1,"Best","")</f>
      </c>
      <c r="AG29" s="17">
        <f>IF($T29="","",IF(AND($G29&lt;&gt;"",$H29&lt;&gt;"",$T29&lt;N($G29)),$G29,IF(AND($I29&lt;&gt;"",$J29&lt;&gt;"",$T29&lt;N($I29)),$I29,IF(AND($K29&lt;&gt;"",$L29&lt;&gt;"",$T29&lt;N($K29)),$K29,""))))</f>
      </c>
      <c r="AH29" s="15">
        <f>IF($AG29="","",CEILING($AG29,IF(N($D29)&gt;0,$D29,1))*IF($AG29=$G29,$H29,IF($AG29=$I29,$J29,$L29)))</f>
      </c>
      <c r="AI29" s="3">
        <f>IF($AH29="","",IF($AH29&lt;$V29,"Ordering "&amp;TEXT(CEILING($AG29,IF(N($D29)&gt;0,$D29,1)),"0")&amp;" costs "&amp;TEXT($V29-$AH29,"0.00")&amp;" less in goods",""))</f>
      </c>
      <c r="AJ29" s="3">
        <f>IF($AE29="","",$A29&amp;"#"&amp;$AE29)</f>
      </c>
      <c r="AK29" s="17">
        <f>IF(OR($A29="",$B29=""),0,IF(IFERROR(INDEX(Award!$D$5:$D$34,MATCH($A29,Award!$A$5:$A$34,0))&amp;"","")=$B29,1,0))</f>
      </c>
      <c r="AL29" s="15">
        <f>IF(OR($AK29&lt;&gt;1,$V29=""),"",IFERROR(INDEX(Suppliers!$N$5:$N$12,MATCH($B29,Suppliers!$A$5:$A$12,0))*$V29/INDEX(Suppliers!$L$5:$L$12,MATCH($B29,Suppliers!$A$5:$A$12,0)),0))</f>
      </c>
      <c r="AM29" s="15">
        <f>IF($AL29="","",N($M29)*($V29+IF(Setup!$B$4="Yes",$AL29,0)))</f>
      </c>
      <c r="AN29" s="15">
        <f>IF(OR($AL29="",$W29=""),"",($V29+$AL29+$AM29)*$W29)</f>
      </c>
    </row>
    <row r="30">
      <c r="A30" s="13"/>
      <c r="B30" s="6"/>
      <c r="C30" s="13"/>
      <c r="D30" s="13"/>
      <c r="E30" s="13"/>
      <c r="F30" s="22"/>
      <c r="G30" s="13"/>
      <c r="H30" s="22"/>
      <c r="I30" s="13"/>
      <c r="J30" s="22"/>
      <c r="K30" s="13"/>
      <c r="L30" s="22"/>
      <c r="M30" s="14"/>
      <c r="N30" s="13"/>
      <c r="O30" s="7"/>
      <c r="P30" s="6"/>
      <c r="Q30" s="3">
        <f>IF($A30="","",IFERROR(INDEX(Lines!$B$5:$B$34,MATCH($A30,Lines!$A$5:$A$34,0)),"Unknown line"))</f>
      </c>
      <c r="R30" s="17">
        <f>IF($A30="","",IFERROR(INDEX(Lines!$D$5:$D$34,MATCH($A30,Lines!$A$5:$A$34,0)),""))</f>
      </c>
      <c r="S30" s="3">
        <f>IF($B30="","",IFERROR(INDEX(Suppliers!$B$5:$B$12,MATCH($B30,Suppliers!$A$5:$A$12,0))&amp;"",""))</f>
      </c>
      <c r="T30" s="17">
        <f>IF(OR(N($R30)&lt;=0,$F30=""),"",CEILING(MAX($R30,N($C30),N($E30)),IF(N($D30)&gt;0,$D30,1)))</f>
      </c>
      <c r="U30" s="16">
        <f>IF($T30="","",IF(AND($K30&lt;&gt;"",$L30&lt;&gt;"",$T30&gt;=N($K30)),$L30,IF(AND($I30&lt;&gt;"",$J30&lt;&gt;"",$T30&gt;=N($I30)),$J30,IF(AND($G30&lt;&gt;"",$H30&lt;&gt;"",$T30&gt;=N($G30)),$H30,$F30))))</f>
      </c>
      <c r="V30" s="15">
        <f>IF($T30="","",$T30*$U30)</f>
      </c>
      <c r="W30" s="16">
        <f>IF($S30="","",IF($S30=Setup!$B$3,1,IFERROR(IF(N(INDEX(Setup!$B$8:$B$17,MATCH($S30,Setup!$A$8:$A$17,0)))&gt;0,INDEX(Setup!$B$8:$B$17,MATCH($S30,Setup!$A$8:$A$17,0)),""),"")))</f>
      </c>
      <c r="X30" s="15">
        <f>IF($V30="","",IFERROR(INDEX(Suppliers!$K$5:$K$12,MATCH($B30,Suppliers!$A$5:$A$12,0))*$V30/INDEX(Suppliers!$I$5:$I$12,MATCH($B30,Suppliers!$A$5:$A$12,0)),0))</f>
      </c>
      <c r="Y30" s="15">
        <f>IF($V30="","",N($M30)*($V30+IF(Setup!$B$4="Yes",$X30,0)))</f>
      </c>
      <c r="Z30" s="15">
        <f>IF($V30="","",$V30+$X30+$Y30)</f>
      </c>
      <c r="AA30" s="15">
        <f>IF(OR($Z30="",$W30=""),"",$Z30*$W30)</f>
      </c>
      <c r="AB30" s="16">
        <f>IF($AA30="","",$AA30/$R30)</f>
      </c>
      <c r="AC30" s="17">
        <f>IF($T30="","",$T30-$R30)</f>
      </c>
      <c r="AD30" s="3">
        <f>IF($A30="","",IF($Q30="Unknown line","Line not on Lines",IF($S30="","Supplier not on Suppliers",IF($F30="","No price",IF($W30="","Exchange rate missing — left out","OK")))))</f>
      </c>
      <c r="AE30" s="17">
        <f>IF($AB30="","",COUNTIFS($A$5:$A$84,$A30,$AB$5:$AB$84,"&lt;"&amp;$AB30)+1)</f>
      </c>
      <c r="AF30" s="3">
        <f>IF($AE30=1,"Best","")</f>
      </c>
      <c r="AG30" s="17">
        <f>IF($T30="","",IF(AND($G30&lt;&gt;"",$H30&lt;&gt;"",$T30&lt;N($G30)),$G30,IF(AND($I30&lt;&gt;"",$J30&lt;&gt;"",$T30&lt;N($I30)),$I30,IF(AND($K30&lt;&gt;"",$L30&lt;&gt;"",$T30&lt;N($K30)),$K30,""))))</f>
      </c>
      <c r="AH30" s="15">
        <f>IF($AG30="","",CEILING($AG30,IF(N($D30)&gt;0,$D30,1))*IF($AG30=$G30,$H30,IF($AG30=$I30,$J30,$L30)))</f>
      </c>
      <c r="AI30" s="3">
        <f>IF($AH30="","",IF($AH30&lt;$V30,"Ordering "&amp;TEXT(CEILING($AG30,IF(N($D30)&gt;0,$D30,1)),"0")&amp;" costs "&amp;TEXT($V30-$AH30,"0.00")&amp;" less in goods",""))</f>
      </c>
      <c r="AJ30" s="3">
        <f>IF($AE30="","",$A30&amp;"#"&amp;$AE30)</f>
      </c>
      <c r="AK30" s="17">
        <f>IF(OR($A30="",$B30=""),0,IF(IFERROR(INDEX(Award!$D$5:$D$34,MATCH($A30,Award!$A$5:$A$34,0))&amp;"","")=$B30,1,0))</f>
      </c>
      <c r="AL30" s="15">
        <f>IF(OR($AK30&lt;&gt;1,$V30=""),"",IFERROR(INDEX(Suppliers!$N$5:$N$12,MATCH($B30,Suppliers!$A$5:$A$12,0))*$V30/INDEX(Suppliers!$L$5:$L$12,MATCH($B30,Suppliers!$A$5:$A$12,0)),0))</f>
      </c>
      <c r="AM30" s="15">
        <f>IF($AL30="","",N($M30)*($V30+IF(Setup!$B$4="Yes",$AL30,0)))</f>
      </c>
      <c r="AN30" s="15">
        <f>IF(OR($AL30="",$W30=""),"",($V30+$AL30+$AM30)*$W30)</f>
      </c>
    </row>
    <row r="31">
      <c r="A31" s="13"/>
      <c r="B31" s="6"/>
      <c r="C31" s="13"/>
      <c r="D31" s="13"/>
      <c r="E31" s="13"/>
      <c r="F31" s="22"/>
      <c r="G31" s="13"/>
      <c r="H31" s="22"/>
      <c r="I31" s="13"/>
      <c r="J31" s="22"/>
      <c r="K31" s="13"/>
      <c r="L31" s="22"/>
      <c r="M31" s="14"/>
      <c r="N31" s="13"/>
      <c r="O31" s="7"/>
      <c r="P31" s="6"/>
      <c r="Q31" s="3">
        <f>IF($A31="","",IFERROR(INDEX(Lines!$B$5:$B$34,MATCH($A31,Lines!$A$5:$A$34,0)),"Unknown line"))</f>
      </c>
      <c r="R31" s="17">
        <f>IF($A31="","",IFERROR(INDEX(Lines!$D$5:$D$34,MATCH($A31,Lines!$A$5:$A$34,0)),""))</f>
      </c>
      <c r="S31" s="3">
        <f>IF($B31="","",IFERROR(INDEX(Suppliers!$B$5:$B$12,MATCH($B31,Suppliers!$A$5:$A$12,0))&amp;"",""))</f>
      </c>
      <c r="T31" s="17">
        <f>IF(OR(N($R31)&lt;=0,$F31=""),"",CEILING(MAX($R31,N($C31),N($E31)),IF(N($D31)&gt;0,$D31,1)))</f>
      </c>
      <c r="U31" s="16">
        <f>IF($T31="","",IF(AND($K31&lt;&gt;"",$L31&lt;&gt;"",$T31&gt;=N($K31)),$L31,IF(AND($I31&lt;&gt;"",$J31&lt;&gt;"",$T31&gt;=N($I31)),$J31,IF(AND($G31&lt;&gt;"",$H31&lt;&gt;"",$T31&gt;=N($G31)),$H31,$F31))))</f>
      </c>
      <c r="V31" s="15">
        <f>IF($T31="","",$T31*$U31)</f>
      </c>
      <c r="W31" s="16">
        <f>IF($S31="","",IF($S31=Setup!$B$3,1,IFERROR(IF(N(INDEX(Setup!$B$8:$B$17,MATCH($S31,Setup!$A$8:$A$17,0)))&gt;0,INDEX(Setup!$B$8:$B$17,MATCH($S31,Setup!$A$8:$A$17,0)),""),"")))</f>
      </c>
      <c r="X31" s="15">
        <f>IF($V31="","",IFERROR(INDEX(Suppliers!$K$5:$K$12,MATCH($B31,Suppliers!$A$5:$A$12,0))*$V31/INDEX(Suppliers!$I$5:$I$12,MATCH($B31,Suppliers!$A$5:$A$12,0)),0))</f>
      </c>
      <c r="Y31" s="15">
        <f>IF($V31="","",N($M31)*($V31+IF(Setup!$B$4="Yes",$X31,0)))</f>
      </c>
      <c r="Z31" s="15">
        <f>IF($V31="","",$V31+$X31+$Y31)</f>
      </c>
      <c r="AA31" s="15">
        <f>IF(OR($Z31="",$W31=""),"",$Z31*$W31)</f>
      </c>
      <c r="AB31" s="16">
        <f>IF($AA31="","",$AA31/$R31)</f>
      </c>
      <c r="AC31" s="17">
        <f>IF($T31="","",$T31-$R31)</f>
      </c>
      <c r="AD31" s="3">
        <f>IF($A31="","",IF($Q31="Unknown line","Line not on Lines",IF($S31="","Supplier not on Suppliers",IF($F31="","No price",IF($W31="","Exchange rate missing — left out","OK")))))</f>
      </c>
      <c r="AE31" s="17">
        <f>IF($AB31="","",COUNTIFS($A$5:$A$84,$A31,$AB$5:$AB$84,"&lt;"&amp;$AB31)+1)</f>
      </c>
      <c r="AF31" s="3">
        <f>IF($AE31=1,"Best","")</f>
      </c>
      <c r="AG31" s="17">
        <f>IF($T31="","",IF(AND($G31&lt;&gt;"",$H31&lt;&gt;"",$T31&lt;N($G31)),$G31,IF(AND($I31&lt;&gt;"",$J31&lt;&gt;"",$T31&lt;N($I31)),$I31,IF(AND($K31&lt;&gt;"",$L31&lt;&gt;"",$T31&lt;N($K31)),$K31,""))))</f>
      </c>
      <c r="AH31" s="15">
        <f>IF($AG31="","",CEILING($AG31,IF(N($D31)&gt;0,$D31,1))*IF($AG31=$G31,$H31,IF($AG31=$I31,$J31,$L31)))</f>
      </c>
      <c r="AI31" s="3">
        <f>IF($AH31="","",IF($AH31&lt;$V31,"Ordering "&amp;TEXT(CEILING($AG31,IF(N($D31)&gt;0,$D31,1)),"0")&amp;" costs "&amp;TEXT($V31-$AH31,"0.00")&amp;" less in goods",""))</f>
      </c>
      <c r="AJ31" s="3">
        <f>IF($AE31="","",$A31&amp;"#"&amp;$AE31)</f>
      </c>
      <c r="AK31" s="17">
        <f>IF(OR($A31="",$B31=""),0,IF(IFERROR(INDEX(Award!$D$5:$D$34,MATCH($A31,Award!$A$5:$A$34,0))&amp;"","")=$B31,1,0))</f>
      </c>
      <c r="AL31" s="15">
        <f>IF(OR($AK31&lt;&gt;1,$V31=""),"",IFERROR(INDEX(Suppliers!$N$5:$N$12,MATCH($B31,Suppliers!$A$5:$A$12,0))*$V31/INDEX(Suppliers!$L$5:$L$12,MATCH($B31,Suppliers!$A$5:$A$12,0)),0))</f>
      </c>
      <c r="AM31" s="15">
        <f>IF($AL31="","",N($M31)*($V31+IF(Setup!$B$4="Yes",$AL31,0)))</f>
      </c>
      <c r="AN31" s="15">
        <f>IF(OR($AL31="",$W31=""),"",($V31+$AL31+$AM31)*$W31)</f>
      </c>
    </row>
    <row r="32">
      <c r="A32" s="13"/>
      <c r="B32" s="6"/>
      <c r="C32" s="13"/>
      <c r="D32" s="13"/>
      <c r="E32" s="13"/>
      <c r="F32" s="22"/>
      <c r="G32" s="13"/>
      <c r="H32" s="22"/>
      <c r="I32" s="13"/>
      <c r="J32" s="22"/>
      <c r="K32" s="13"/>
      <c r="L32" s="22"/>
      <c r="M32" s="14"/>
      <c r="N32" s="13"/>
      <c r="O32" s="7"/>
      <c r="P32" s="6"/>
      <c r="Q32" s="3">
        <f>IF($A32="","",IFERROR(INDEX(Lines!$B$5:$B$34,MATCH($A32,Lines!$A$5:$A$34,0)),"Unknown line"))</f>
      </c>
      <c r="R32" s="17">
        <f>IF($A32="","",IFERROR(INDEX(Lines!$D$5:$D$34,MATCH($A32,Lines!$A$5:$A$34,0)),""))</f>
      </c>
      <c r="S32" s="3">
        <f>IF($B32="","",IFERROR(INDEX(Suppliers!$B$5:$B$12,MATCH($B32,Suppliers!$A$5:$A$12,0))&amp;"",""))</f>
      </c>
      <c r="T32" s="17">
        <f>IF(OR(N($R32)&lt;=0,$F32=""),"",CEILING(MAX($R32,N($C32),N($E32)),IF(N($D32)&gt;0,$D32,1)))</f>
      </c>
      <c r="U32" s="16">
        <f>IF($T32="","",IF(AND($K32&lt;&gt;"",$L32&lt;&gt;"",$T32&gt;=N($K32)),$L32,IF(AND($I32&lt;&gt;"",$J32&lt;&gt;"",$T32&gt;=N($I32)),$J32,IF(AND($G32&lt;&gt;"",$H32&lt;&gt;"",$T32&gt;=N($G32)),$H32,$F32))))</f>
      </c>
      <c r="V32" s="15">
        <f>IF($T32="","",$T32*$U32)</f>
      </c>
      <c r="W32" s="16">
        <f>IF($S32="","",IF($S32=Setup!$B$3,1,IFERROR(IF(N(INDEX(Setup!$B$8:$B$17,MATCH($S32,Setup!$A$8:$A$17,0)))&gt;0,INDEX(Setup!$B$8:$B$17,MATCH($S32,Setup!$A$8:$A$17,0)),""),"")))</f>
      </c>
      <c r="X32" s="15">
        <f>IF($V32="","",IFERROR(INDEX(Suppliers!$K$5:$K$12,MATCH($B32,Suppliers!$A$5:$A$12,0))*$V32/INDEX(Suppliers!$I$5:$I$12,MATCH($B32,Suppliers!$A$5:$A$12,0)),0))</f>
      </c>
      <c r="Y32" s="15">
        <f>IF($V32="","",N($M32)*($V32+IF(Setup!$B$4="Yes",$X32,0)))</f>
      </c>
      <c r="Z32" s="15">
        <f>IF($V32="","",$V32+$X32+$Y32)</f>
      </c>
      <c r="AA32" s="15">
        <f>IF(OR($Z32="",$W32=""),"",$Z32*$W32)</f>
      </c>
      <c r="AB32" s="16">
        <f>IF($AA32="","",$AA32/$R32)</f>
      </c>
      <c r="AC32" s="17">
        <f>IF($T32="","",$T32-$R32)</f>
      </c>
      <c r="AD32" s="3">
        <f>IF($A32="","",IF($Q32="Unknown line","Line not on Lines",IF($S32="","Supplier not on Suppliers",IF($F32="","No price",IF($W32="","Exchange rate missing — left out","OK")))))</f>
      </c>
      <c r="AE32" s="17">
        <f>IF($AB32="","",COUNTIFS($A$5:$A$84,$A32,$AB$5:$AB$84,"&lt;"&amp;$AB32)+1)</f>
      </c>
      <c r="AF32" s="3">
        <f>IF($AE32=1,"Best","")</f>
      </c>
      <c r="AG32" s="17">
        <f>IF($T32="","",IF(AND($G32&lt;&gt;"",$H32&lt;&gt;"",$T32&lt;N($G32)),$G32,IF(AND($I32&lt;&gt;"",$J32&lt;&gt;"",$T32&lt;N($I32)),$I32,IF(AND($K32&lt;&gt;"",$L32&lt;&gt;"",$T32&lt;N($K32)),$K32,""))))</f>
      </c>
      <c r="AH32" s="15">
        <f>IF($AG32="","",CEILING($AG32,IF(N($D32)&gt;0,$D32,1))*IF($AG32=$G32,$H32,IF($AG32=$I32,$J32,$L32)))</f>
      </c>
      <c r="AI32" s="3">
        <f>IF($AH32="","",IF($AH32&lt;$V32,"Ordering "&amp;TEXT(CEILING($AG32,IF(N($D32)&gt;0,$D32,1)),"0")&amp;" costs "&amp;TEXT($V32-$AH32,"0.00")&amp;" less in goods",""))</f>
      </c>
      <c r="AJ32" s="3">
        <f>IF($AE32="","",$A32&amp;"#"&amp;$AE32)</f>
      </c>
      <c r="AK32" s="17">
        <f>IF(OR($A32="",$B32=""),0,IF(IFERROR(INDEX(Award!$D$5:$D$34,MATCH($A32,Award!$A$5:$A$34,0))&amp;"","")=$B32,1,0))</f>
      </c>
      <c r="AL32" s="15">
        <f>IF(OR($AK32&lt;&gt;1,$V32=""),"",IFERROR(INDEX(Suppliers!$N$5:$N$12,MATCH($B32,Suppliers!$A$5:$A$12,0))*$V32/INDEX(Suppliers!$L$5:$L$12,MATCH($B32,Suppliers!$A$5:$A$12,0)),0))</f>
      </c>
      <c r="AM32" s="15">
        <f>IF($AL32="","",N($M32)*($V32+IF(Setup!$B$4="Yes",$AL32,0)))</f>
      </c>
      <c r="AN32" s="15">
        <f>IF(OR($AL32="",$W32=""),"",($V32+$AL32+$AM32)*$W32)</f>
      </c>
    </row>
    <row r="33">
      <c r="A33" s="13"/>
      <c r="B33" s="6"/>
      <c r="C33" s="13"/>
      <c r="D33" s="13"/>
      <c r="E33" s="13"/>
      <c r="F33" s="22"/>
      <c r="G33" s="13"/>
      <c r="H33" s="22"/>
      <c r="I33" s="13"/>
      <c r="J33" s="22"/>
      <c r="K33" s="13"/>
      <c r="L33" s="22"/>
      <c r="M33" s="14"/>
      <c r="N33" s="13"/>
      <c r="O33" s="7"/>
      <c r="P33" s="6"/>
      <c r="Q33" s="3">
        <f>IF($A33="","",IFERROR(INDEX(Lines!$B$5:$B$34,MATCH($A33,Lines!$A$5:$A$34,0)),"Unknown line"))</f>
      </c>
      <c r="R33" s="17">
        <f>IF($A33="","",IFERROR(INDEX(Lines!$D$5:$D$34,MATCH($A33,Lines!$A$5:$A$34,0)),""))</f>
      </c>
      <c r="S33" s="3">
        <f>IF($B33="","",IFERROR(INDEX(Suppliers!$B$5:$B$12,MATCH($B33,Suppliers!$A$5:$A$12,0))&amp;"",""))</f>
      </c>
      <c r="T33" s="17">
        <f>IF(OR(N($R33)&lt;=0,$F33=""),"",CEILING(MAX($R33,N($C33),N($E33)),IF(N($D33)&gt;0,$D33,1)))</f>
      </c>
      <c r="U33" s="16">
        <f>IF($T33="","",IF(AND($K33&lt;&gt;"",$L33&lt;&gt;"",$T33&gt;=N($K33)),$L33,IF(AND($I33&lt;&gt;"",$J33&lt;&gt;"",$T33&gt;=N($I33)),$J33,IF(AND($G33&lt;&gt;"",$H33&lt;&gt;"",$T33&gt;=N($G33)),$H33,$F33))))</f>
      </c>
      <c r="V33" s="15">
        <f>IF($T33="","",$T33*$U33)</f>
      </c>
      <c r="W33" s="16">
        <f>IF($S33="","",IF($S33=Setup!$B$3,1,IFERROR(IF(N(INDEX(Setup!$B$8:$B$17,MATCH($S33,Setup!$A$8:$A$17,0)))&gt;0,INDEX(Setup!$B$8:$B$17,MATCH($S33,Setup!$A$8:$A$17,0)),""),"")))</f>
      </c>
      <c r="X33" s="15">
        <f>IF($V33="","",IFERROR(INDEX(Suppliers!$K$5:$K$12,MATCH($B33,Suppliers!$A$5:$A$12,0))*$V33/INDEX(Suppliers!$I$5:$I$12,MATCH($B33,Suppliers!$A$5:$A$12,0)),0))</f>
      </c>
      <c r="Y33" s="15">
        <f>IF($V33="","",N($M33)*($V33+IF(Setup!$B$4="Yes",$X33,0)))</f>
      </c>
      <c r="Z33" s="15">
        <f>IF($V33="","",$V33+$X33+$Y33)</f>
      </c>
      <c r="AA33" s="15">
        <f>IF(OR($Z33="",$W33=""),"",$Z33*$W33)</f>
      </c>
      <c r="AB33" s="16">
        <f>IF($AA33="","",$AA33/$R33)</f>
      </c>
      <c r="AC33" s="17">
        <f>IF($T33="","",$T33-$R33)</f>
      </c>
      <c r="AD33" s="3">
        <f>IF($A33="","",IF($Q33="Unknown line","Line not on Lines",IF($S33="","Supplier not on Suppliers",IF($F33="","No price",IF($W33="","Exchange rate missing — left out","OK")))))</f>
      </c>
      <c r="AE33" s="17">
        <f>IF($AB33="","",COUNTIFS($A$5:$A$84,$A33,$AB$5:$AB$84,"&lt;"&amp;$AB33)+1)</f>
      </c>
      <c r="AF33" s="3">
        <f>IF($AE33=1,"Best","")</f>
      </c>
      <c r="AG33" s="17">
        <f>IF($T33="","",IF(AND($G33&lt;&gt;"",$H33&lt;&gt;"",$T33&lt;N($G33)),$G33,IF(AND($I33&lt;&gt;"",$J33&lt;&gt;"",$T33&lt;N($I33)),$I33,IF(AND($K33&lt;&gt;"",$L33&lt;&gt;"",$T33&lt;N($K33)),$K33,""))))</f>
      </c>
      <c r="AH33" s="15">
        <f>IF($AG33="","",CEILING($AG33,IF(N($D33)&gt;0,$D33,1))*IF($AG33=$G33,$H33,IF($AG33=$I33,$J33,$L33)))</f>
      </c>
      <c r="AI33" s="3">
        <f>IF($AH33="","",IF($AH33&lt;$V33,"Ordering "&amp;TEXT(CEILING($AG33,IF(N($D33)&gt;0,$D33,1)),"0")&amp;" costs "&amp;TEXT($V33-$AH33,"0.00")&amp;" less in goods",""))</f>
      </c>
      <c r="AJ33" s="3">
        <f>IF($AE33="","",$A33&amp;"#"&amp;$AE33)</f>
      </c>
      <c r="AK33" s="17">
        <f>IF(OR($A33="",$B33=""),0,IF(IFERROR(INDEX(Award!$D$5:$D$34,MATCH($A33,Award!$A$5:$A$34,0))&amp;"","")=$B33,1,0))</f>
      </c>
      <c r="AL33" s="15">
        <f>IF(OR($AK33&lt;&gt;1,$V33=""),"",IFERROR(INDEX(Suppliers!$N$5:$N$12,MATCH($B33,Suppliers!$A$5:$A$12,0))*$V33/INDEX(Suppliers!$L$5:$L$12,MATCH($B33,Suppliers!$A$5:$A$12,0)),0))</f>
      </c>
      <c r="AM33" s="15">
        <f>IF($AL33="","",N($M33)*($V33+IF(Setup!$B$4="Yes",$AL33,0)))</f>
      </c>
      <c r="AN33" s="15">
        <f>IF(OR($AL33="",$W33=""),"",($V33+$AL33+$AM33)*$W33)</f>
      </c>
    </row>
    <row r="34">
      <c r="A34" s="13"/>
      <c r="B34" s="6"/>
      <c r="C34" s="13"/>
      <c r="D34" s="13"/>
      <c r="E34" s="13"/>
      <c r="F34" s="22"/>
      <c r="G34" s="13"/>
      <c r="H34" s="22"/>
      <c r="I34" s="13"/>
      <c r="J34" s="22"/>
      <c r="K34" s="13"/>
      <c r="L34" s="22"/>
      <c r="M34" s="14"/>
      <c r="N34" s="13"/>
      <c r="O34" s="7"/>
      <c r="P34" s="6"/>
      <c r="Q34" s="3">
        <f>IF($A34="","",IFERROR(INDEX(Lines!$B$5:$B$34,MATCH($A34,Lines!$A$5:$A$34,0)),"Unknown line"))</f>
      </c>
      <c r="R34" s="17">
        <f>IF($A34="","",IFERROR(INDEX(Lines!$D$5:$D$34,MATCH($A34,Lines!$A$5:$A$34,0)),""))</f>
      </c>
      <c r="S34" s="3">
        <f>IF($B34="","",IFERROR(INDEX(Suppliers!$B$5:$B$12,MATCH($B34,Suppliers!$A$5:$A$12,0))&amp;"",""))</f>
      </c>
      <c r="T34" s="17">
        <f>IF(OR(N($R34)&lt;=0,$F34=""),"",CEILING(MAX($R34,N($C34),N($E34)),IF(N($D34)&gt;0,$D34,1)))</f>
      </c>
      <c r="U34" s="16">
        <f>IF($T34="","",IF(AND($K34&lt;&gt;"",$L34&lt;&gt;"",$T34&gt;=N($K34)),$L34,IF(AND($I34&lt;&gt;"",$J34&lt;&gt;"",$T34&gt;=N($I34)),$J34,IF(AND($G34&lt;&gt;"",$H34&lt;&gt;"",$T34&gt;=N($G34)),$H34,$F34))))</f>
      </c>
      <c r="V34" s="15">
        <f>IF($T34="","",$T34*$U34)</f>
      </c>
      <c r="W34" s="16">
        <f>IF($S34="","",IF($S34=Setup!$B$3,1,IFERROR(IF(N(INDEX(Setup!$B$8:$B$17,MATCH($S34,Setup!$A$8:$A$17,0)))&gt;0,INDEX(Setup!$B$8:$B$17,MATCH($S34,Setup!$A$8:$A$17,0)),""),"")))</f>
      </c>
      <c r="X34" s="15">
        <f>IF($V34="","",IFERROR(INDEX(Suppliers!$K$5:$K$12,MATCH($B34,Suppliers!$A$5:$A$12,0))*$V34/INDEX(Suppliers!$I$5:$I$12,MATCH($B34,Suppliers!$A$5:$A$12,0)),0))</f>
      </c>
      <c r="Y34" s="15">
        <f>IF($V34="","",N($M34)*($V34+IF(Setup!$B$4="Yes",$X34,0)))</f>
      </c>
      <c r="Z34" s="15">
        <f>IF($V34="","",$V34+$X34+$Y34)</f>
      </c>
      <c r="AA34" s="15">
        <f>IF(OR($Z34="",$W34=""),"",$Z34*$W34)</f>
      </c>
      <c r="AB34" s="16">
        <f>IF($AA34="","",$AA34/$R34)</f>
      </c>
      <c r="AC34" s="17">
        <f>IF($T34="","",$T34-$R34)</f>
      </c>
      <c r="AD34" s="3">
        <f>IF($A34="","",IF($Q34="Unknown line","Line not on Lines",IF($S34="","Supplier not on Suppliers",IF($F34="","No price",IF($W34="","Exchange rate missing — left out","OK")))))</f>
      </c>
      <c r="AE34" s="17">
        <f>IF($AB34="","",COUNTIFS($A$5:$A$84,$A34,$AB$5:$AB$84,"&lt;"&amp;$AB34)+1)</f>
      </c>
      <c r="AF34" s="3">
        <f>IF($AE34=1,"Best","")</f>
      </c>
      <c r="AG34" s="17">
        <f>IF($T34="","",IF(AND($G34&lt;&gt;"",$H34&lt;&gt;"",$T34&lt;N($G34)),$G34,IF(AND($I34&lt;&gt;"",$J34&lt;&gt;"",$T34&lt;N($I34)),$I34,IF(AND($K34&lt;&gt;"",$L34&lt;&gt;"",$T34&lt;N($K34)),$K34,""))))</f>
      </c>
      <c r="AH34" s="15">
        <f>IF($AG34="","",CEILING($AG34,IF(N($D34)&gt;0,$D34,1))*IF($AG34=$G34,$H34,IF($AG34=$I34,$J34,$L34)))</f>
      </c>
      <c r="AI34" s="3">
        <f>IF($AH34="","",IF($AH34&lt;$V34,"Ordering "&amp;TEXT(CEILING($AG34,IF(N($D34)&gt;0,$D34,1)),"0")&amp;" costs "&amp;TEXT($V34-$AH34,"0.00")&amp;" less in goods",""))</f>
      </c>
      <c r="AJ34" s="3">
        <f>IF($AE34="","",$A34&amp;"#"&amp;$AE34)</f>
      </c>
      <c r="AK34" s="17">
        <f>IF(OR($A34="",$B34=""),0,IF(IFERROR(INDEX(Award!$D$5:$D$34,MATCH($A34,Award!$A$5:$A$34,0))&amp;"","")=$B34,1,0))</f>
      </c>
      <c r="AL34" s="15">
        <f>IF(OR($AK34&lt;&gt;1,$V34=""),"",IFERROR(INDEX(Suppliers!$N$5:$N$12,MATCH($B34,Suppliers!$A$5:$A$12,0))*$V34/INDEX(Suppliers!$L$5:$L$12,MATCH($B34,Suppliers!$A$5:$A$12,0)),0))</f>
      </c>
      <c r="AM34" s="15">
        <f>IF($AL34="","",N($M34)*($V34+IF(Setup!$B$4="Yes",$AL34,0)))</f>
      </c>
      <c r="AN34" s="15">
        <f>IF(OR($AL34="",$W34=""),"",($V34+$AL34+$AM34)*$W34)</f>
      </c>
    </row>
    <row r="35">
      <c r="A35" s="13"/>
      <c r="B35" s="6"/>
      <c r="C35" s="13"/>
      <c r="D35" s="13"/>
      <c r="E35" s="13"/>
      <c r="F35" s="22"/>
      <c r="G35" s="13"/>
      <c r="H35" s="22"/>
      <c r="I35" s="13"/>
      <c r="J35" s="22"/>
      <c r="K35" s="13"/>
      <c r="L35" s="22"/>
      <c r="M35" s="14"/>
      <c r="N35" s="13"/>
      <c r="O35" s="7"/>
      <c r="P35" s="6"/>
      <c r="Q35" s="3">
        <f>IF($A35="","",IFERROR(INDEX(Lines!$B$5:$B$34,MATCH($A35,Lines!$A$5:$A$34,0)),"Unknown line"))</f>
      </c>
      <c r="R35" s="17">
        <f>IF($A35="","",IFERROR(INDEX(Lines!$D$5:$D$34,MATCH($A35,Lines!$A$5:$A$34,0)),""))</f>
      </c>
      <c r="S35" s="3">
        <f>IF($B35="","",IFERROR(INDEX(Suppliers!$B$5:$B$12,MATCH($B35,Suppliers!$A$5:$A$12,0))&amp;"",""))</f>
      </c>
      <c r="T35" s="17">
        <f>IF(OR(N($R35)&lt;=0,$F35=""),"",CEILING(MAX($R35,N($C35),N($E35)),IF(N($D35)&gt;0,$D35,1)))</f>
      </c>
      <c r="U35" s="16">
        <f>IF($T35="","",IF(AND($K35&lt;&gt;"",$L35&lt;&gt;"",$T35&gt;=N($K35)),$L35,IF(AND($I35&lt;&gt;"",$J35&lt;&gt;"",$T35&gt;=N($I35)),$J35,IF(AND($G35&lt;&gt;"",$H35&lt;&gt;"",$T35&gt;=N($G35)),$H35,$F35))))</f>
      </c>
      <c r="V35" s="15">
        <f>IF($T35="","",$T35*$U35)</f>
      </c>
      <c r="W35" s="16">
        <f>IF($S35="","",IF($S35=Setup!$B$3,1,IFERROR(IF(N(INDEX(Setup!$B$8:$B$17,MATCH($S35,Setup!$A$8:$A$17,0)))&gt;0,INDEX(Setup!$B$8:$B$17,MATCH($S35,Setup!$A$8:$A$17,0)),""),"")))</f>
      </c>
      <c r="X35" s="15">
        <f>IF($V35="","",IFERROR(INDEX(Suppliers!$K$5:$K$12,MATCH($B35,Suppliers!$A$5:$A$12,0))*$V35/INDEX(Suppliers!$I$5:$I$12,MATCH($B35,Suppliers!$A$5:$A$12,0)),0))</f>
      </c>
      <c r="Y35" s="15">
        <f>IF($V35="","",N($M35)*($V35+IF(Setup!$B$4="Yes",$X35,0)))</f>
      </c>
      <c r="Z35" s="15">
        <f>IF($V35="","",$V35+$X35+$Y35)</f>
      </c>
      <c r="AA35" s="15">
        <f>IF(OR($Z35="",$W35=""),"",$Z35*$W35)</f>
      </c>
      <c r="AB35" s="16">
        <f>IF($AA35="","",$AA35/$R35)</f>
      </c>
      <c r="AC35" s="17">
        <f>IF($T35="","",$T35-$R35)</f>
      </c>
      <c r="AD35" s="3">
        <f>IF($A35="","",IF($Q35="Unknown line","Line not on Lines",IF($S35="","Supplier not on Suppliers",IF($F35="","No price",IF($W35="","Exchange rate missing — left out","OK")))))</f>
      </c>
      <c r="AE35" s="17">
        <f>IF($AB35="","",COUNTIFS($A$5:$A$84,$A35,$AB$5:$AB$84,"&lt;"&amp;$AB35)+1)</f>
      </c>
      <c r="AF35" s="3">
        <f>IF($AE35=1,"Best","")</f>
      </c>
      <c r="AG35" s="17">
        <f>IF($T35="","",IF(AND($G35&lt;&gt;"",$H35&lt;&gt;"",$T35&lt;N($G35)),$G35,IF(AND($I35&lt;&gt;"",$J35&lt;&gt;"",$T35&lt;N($I35)),$I35,IF(AND($K35&lt;&gt;"",$L35&lt;&gt;"",$T35&lt;N($K35)),$K35,""))))</f>
      </c>
      <c r="AH35" s="15">
        <f>IF($AG35="","",CEILING($AG35,IF(N($D35)&gt;0,$D35,1))*IF($AG35=$G35,$H35,IF($AG35=$I35,$J35,$L35)))</f>
      </c>
      <c r="AI35" s="3">
        <f>IF($AH35="","",IF($AH35&lt;$V35,"Ordering "&amp;TEXT(CEILING($AG35,IF(N($D35)&gt;0,$D35,1)),"0")&amp;" costs "&amp;TEXT($V35-$AH35,"0.00")&amp;" less in goods",""))</f>
      </c>
      <c r="AJ35" s="3">
        <f>IF($AE35="","",$A35&amp;"#"&amp;$AE35)</f>
      </c>
      <c r="AK35" s="17">
        <f>IF(OR($A35="",$B35=""),0,IF(IFERROR(INDEX(Award!$D$5:$D$34,MATCH($A35,Award!$A$5:$A$34,0))&amp;"","")=$B35,1,0))</f>
      </c>
      <c r="AL35" s="15">
        <f>IF(OR($AK35&lt;&gt;1,$V35=""),"",IFERROR(INDEX(Suppliers!$N$5:$N$12,MATCH($B35,Suppliers!$A$5:$A$12,0))*$V35/INDEX(Suppliers!$L$5:$L$12,MATCH($B35,Suppliers!$A$5:$A$12,0)),0))</f>
      </c>
      <c r="AM35" s="15">
        <f>IF($AL35="","",N($M35)*($V35+IF(Setup!$B$4="Yes",$AL35,0)))</f>
      </c>
      <c r="AN35" s="15">
        <f>IF(OR($AL35="",$W35=""),"",($V35+$AL35+$AM35)*$W35)</f>
      </c>
    </row>
    <row r="36">
      <c r="A36" s="13"/>
      <c r="B36" s="6"/>
      <c r="C36" s="13"/>
      <c r="D36" s="13"/>
      <c r="E36" s="13"/>
      <c r="F36" s="22"/>
      <c r="G36" s="13"/>
      <c r="H36" s="22"/>
      <c r="I36" s="13"/>
      <c r="J36" s="22"/>
      <c r="K36" s="13"/>
      <c r="L36" s="22"/>
      <c r="M36" s="14"/>
      <c r="N36" s="13"/>
      <c r="O36" s="7"/>
      <c r="P36" s="6"/>
      <c r="Q36" s="3">
        <f>IF($A36="","",IFERROR(INDEX(Lines!$B$5:$B$34,MATCH($A36,Lines!$A$5:$A$34,0)),"Unknown line"))</f>
      </c>
      <c r="R36" s="17">
        <f>IF($A36="","",IFERROR(INDEX(Lines!$D$5:$D$34,MATCH($A36,Lines!$A$5:$A$34,0)),""))</f>
      </c>
      <c r="S36" s="3">
        <f>IF($B36="","",IFERROR(INDEX(Suppliers!$B$5:$B$12,MATCH($B36,Suppliers!$A$5:$A$12,0))&amp;"",""))</f>
      </c>
      <c r="T36" s="17">
        <f>IF(OR(N($R36)&lt;=0,$F36=""),"",CEILING(MAX($R36,N($C36),N($E36)),IF(N($D36)&gt;0,$D36,1)))</f>
      </c>
      <c r="U36" s="16">
        <f>IF($T36="","",IF(AND($K36&lt;&gt;"",$L36&lt;&gt;"",$T36&gt;=N($K36)),$L36,IF(AND($I36&lt;&gt;"",$J36&lt;&gt;"",$T36&gt;=N($I36)),$J36,IF(AND($G36&lt;&gt;"",$H36&lt;&gt;"",$T36&gt;=N($G36)),$H36,$F36))))</f>
      </c>
      <c r="V36" s="15">
        <f>IF($T36="","",$T36*$U36)</f>
      </c>
      <c r="W36" s="16">
        <f>IF($S36="","",IF($S36=Setup!$B$3,1,IFERROR(IF(N(INDEX(Setup!$B$8:$B$17,MATCH($S36,Setup!$A$8:$A$17,0)))&gt;0,INDEX(Setup!$B$8:$B$17,MATCH($S36,Setup!$A$8:$A$17,0)),""),"")))</f>
      </c>
      <c r="X36" s="15">
        <f>IF($V36="","",IFERROR(INDEX(Suppliers!$K$5:$K$12,MATCH($B36,Suppliers!$A$5:$A$12,0))*$V36/INDEX(Suppliers!$I$5:$I$12,MATCH($B36,Suppliers!$A$5:$A$12,0)),0))</f>
      </c>
      <c r="Y36" s="15">
        <f>IF($V36="","",N($M36)*($V36+IF(Setup!$B$4="Yes",$X36,0)))</f>
      </c>
      <c r="Z36" s="15">
        <f>IF($V36="","",$V36+$X36+$Y36)</f>
      </c>
      <c r="AA36" s="15">
        <f>IF(OR($Z36="",$W36=""),"",$Z36*$W36)</f>
      </c>
      <c r="AB36" s="16">
        <f>IF($AA36="","",$AA36/$R36)</f>
      </c>
      <c r="AC36" s="17">
        <f>IF($T36="","",$T36-$R36)</f>
      </c>
      <c r="AD36" s="3">
        <f>IF($A36="","",IF($Q36="Unknown line","Line not on Lines",IF($S36="","Supplier not on Suppliers",IF($F36="","No price",IF($W36="","Exchange rate missing — left out","OK")))))</f>
      </c>
      <c r="AE36" s="17">
        <f>IF($AB36="","",COUNTIFS($A$5:$A$84,$A36,$AB$5:$AB$84,"&lt;"&amp;$AB36)+1)</f>
      </c>
      <c r="AF36" s="3">
        <f>IF($AE36=1,"Best","")</f>
      </c>
      <c r="AG36" s="17">
        <f>IF($T36="","",IF(AND($G36&lt;&gt;"",$H36&lt;&gt;"",$T36&lt;N($G36)),$G36,IF(AND($I36&lt;&gt;"",$J36&lt;&gt;"",$T36&lt;N($I36)),$I36,IF(AND($K36&lt;&gt;"",$L36&lt;&gt;"",$T36&lt;N($K36)),$K36,""))))</f>
      </c>
      <c r="AH36" s="15">
        <f>IF($AG36="","",CEILING($AG36,IF(N($D36)&gt;0,$D36,1))*IF($AG36=$G36,$H36,IF($AG36=$I36,$J36,$L36)))</f>
      </c>
      <c r="AI36" s="3">
        <f>IF($AH36="","",IF($AH36&lt;$V36,"Ordering "&amp;TEXT(CEILING($AG36,IF(N($D36)&gt;0,$D36,1)),"0")&amp;" costs "&amp;TEXT($V36-$AH36,"0.00")&amp;" less in goods",""))</f>
      </c>
      <c r="AJ36" s="3">
        <f>IF($AE36="","",$A36&amp;"#"&amp;$AE36)</f>
      </c>
      <c r="AK36" s="17">
        <f>IF(OR($A36="",$B36=""),0,IF(IFERROR(INDEX(Award!$D$5:$D$34,MATCH($A36,Award!$A$5:$A$34,0))&amp;"","")=$B36,1,0))</f>
      </c>
      <c r="AL36" s="15">
        <f>IF(OR($AK36&lt;&gt;1,$V36=""),"",IFERROR(INDEX(Suppliers!$N$5:$N$12,MATCH($B36,Suppliers!$A$5:$A$12,0))*$V36/INDEX(Suppliers!$L$5:$L$12,MATCH($B36,Suppliers!$A$5:$A$12,0)),0))</f>
      </c>
      <c r="AM36" s="15">
        <f>IF($AL36="","",N($M36)*($V36+IF(Setup!$B$4="Yes",$AL36,0)))</f>
      </c>
      <c r="AN36" s="15">
        <f>IF(OR($AL36="",$W36=""),"",($V36+$AL36+$AM36)*$W36)</f>
      </c>
    </row>
    <row r="37">
      <c r="A37" s="13"/>
      <c r="B37" s="6"/>
      <c r="C37" s="13"/>
      <c r="D37" s="13"/>
      <c r="E37" s="13"/>
      <c r="F37" s="22"/>
      <c r="G37" s="13"/>
      <c r="H37" s="22"/>
      <c r="I37" s="13"/>
      <c r="J37" s="22"/>
      <c r="K37" s="13"/>
      <c r="L37" s="22"/>
      <c r="M37" s="14"/>
      <c r="N37" s="13"/>
      <c r="O37" s="7"/>
      <c r="P37" s="6"/>
      <c r="Q37" s="3">
        <f>IF($A37="","",IFERROR(INDEX(Lines!$B$5:$B$34,MATCH($A37,Lines!$A$5:$A$34,0)),"Unknown line"))</f>
      </c>
      <c r="R37" s="17">
        <f>IF($A37="","",IFERROR(INDEX(Lines!$D$5:$D$34,MATCH($A37,Lines!$A$5:$A$34,0)),""))</f>
      </c>
      <c r="S37" s="3">
        <f>IF($B37="","",IFERROR(INDEX(Suppliers!$B$5:$B$12,MATCH($B37,Suppliers!$A$5:$A$12,0))&amp;"",""))</f>
      </c>
      <c r="T37" s="17">
        <f>IF(OR(N($R37)&lt;=0,$F37=""),"",CEILING(MAX($R37,N($C37),N($E37)),IF(N($D37)&gt;0,$D37,1)))</f>
      </c>
      <c r="U37" s="16">
        <f>IF($T37="","",IF(AND($K37&lt;&gt;"",$L37&lt;&gt;"",$T37&gt;=N($K37)),$L37,IF(AND($I37&lt;&gt;"",$J37&lt;&gt;"",$T37&gt;=N($I37)),$J37,IF(AND($G37&lt;&gt;"",$H37&lt;&gt;"",$T37&gt;=N($G37)),$H37,$F37))))</f>
      </c>
      <c r="V37" s="15">
        <f>IF($T37="","",$T37*$U37)</f>
      </c>
      <c r="W37" s="16">
        <f>IF($S37="","",IF($S37=Setup!$B$3,1,IFERROR(IF(N(INDEX(Setup!$B$8:$B$17,MATCH($S37,Setup!$A$8:$A$17,0)))&gt;0,INDEX(Setup!$B$8:$B$17,MATCH($S37,Setup!$A$8:$A$17,0)),""),"")))</f>
      </c>
      <c r="X37" s="15">
        <f>IF($V37="","",IFERROR(INDEX(Suppliers!$K$5:$K$12,MATCH($B37,Suppliers!$A$5:$A$12,0))*$V37/INDEX(Suppliers!$I$5:$I$12,MATCH($B37,Suppliers!$A$5:$A$12,0)),0))</f>
      </c>
      <c r="Y37" s="15">
        <f>IF($V37="","",N($M37)*($V37+IF(Setup!$B$4="Yes",$X37,0)))</f>
      </c>
      <c r="Z37" s="15">
        <f>IF($V37="","",$V37+$X37+$Y37)</f>
      </c>
      <c r="AA37" s="15">
        <f>IF(OR($Z37="",$W37=""),"",$Z37*$W37)</f>
      </c>
      <c r="AB37" s="16">
        <f>IF($AA37="","",$AA37/$R37)</f>
      </c>
      <c r="AC37" s="17">
        <f>IF($T37="","",$T37-$R37)</f>
      </c>
      <c r="AD37" s="3">
        <f>IF($A37="","",IF($Q37="Unknown line","Line not on Lines",IF($S37="","Supplier not on Suppliers",IF($F37="","No price",IF($W37="","Exchange rate missing — left out","OK")))))</f>
      </c>
      <c r="AE37" s="17">
        <f>IF($AB37="","",COUNTIFS($A$5:$A$84,$A37,$AB$5:$AB$84,"&lt;"&amp;$AB37)+1)</f>
      </c>
      <c r="AF37" s="3">
        <f>IF($AE37=1,"Best","")</f>
      </c>
      <c r="AG37" s="17">
        <f>IF($T37="","",IF(AND($G37&lt;&gt;"",$H37&lt;&gt;"",$T37&lt;N($G37)),$G37,IF(AND($I37&lt;&gt;"",$J37&lt;&gt;"",$T37&lt;N($I37)),$I37,IF(AND($K37&lt;&gt;"",$L37&lt;&gt;"",$T37&lt;N($K37)),$K37,""))))</f>
      </c>
      <c r="AH37" s="15">
        <f>IF($AG37="","",CEILING($AG37,IF(N($D37)&gt;0,$D37,1))*IF($AG37=$G37,$H37,IF($AG37=$I37,$J37,$L37)))</f>
      </c>
      <c r="AI37" s="3">
        <f>IF($AH37="","",IF($AH37&lt;$V37,"Ordering "&amp;TEXT(CEILING($AG37,IF(N($D37)&gt;0,$D37,1)),"0")&amp;" costs "&amp;TEXT($V37-$AH37,"0.00")&amp;" less in goods",""))</f>
      </c>
      <c r="AJ37" s="3">
        <f>IF($AE37="","",$A37&amp;"#"&amp;$AE37)</f>
      </c>
      <c r="AK37" s="17">
        <f>IF(OR($A37="",$B37=""),0,IF(IFERROR(INDEX(Award!$D$5:$D$34,MATCH($A37,Award!$A$5:$A$34,0))&amp;"","")=$B37,1,0))</f>
      </c>
      <c r="AL37" s="15">
        <f>IF(OR($AK37&lt;&gt;1,$V37=""),"",IFERROR(INDEX(Suppliers!$N$5:$N$12,MATCH($B37,Suppliers!$A$5:$A$12,0))*$V37/INDEX(Suppliers!$L$5:$L$12,MATCH($B37,Suppliers!$A$5:$A$12,0)),0))</f>
      </c>
      <c r="AM37" s="15">
        <f>IF($AL37="","",N($M37)*($V37+IF(Setup!$B$4="Yes",$AL37,0)))</f>
      </c>
      <c r="AN37" s="15">
        <f>IF(OR($AL37="",$W37=""),"",($V37+$AL37+$AM37)*$W37)</f>
      </c>
    </row>
    <row r="38">
      <c r="A38" s="13"/>
      <c r="B38" s="6"/>
      <c r="C38" s="13"/>
      <c r="D38" s="13"/>
      <c r="E38" s="13"/>
      <c r="F38" s="22"/>
      <c r="G38" s="13"/>
      <c r="H38" s="22"/>
      <c r="I38" s="13"/>
      <c r="J38" s="22"/>
      <c r="K38" s="13"/>
      <c r="L38" s="22"/>
      <c r="M38" s="14"/>
      <c r="N38" s="13"/>
      <c r="O38" s="7"/>
      <c r="P38" s="6"/>
      <c r="Q38" s="3">
        <f>IF($A38="","",IFERROR(INDEX(Lines!$B$5:$B$34,MATCH($A38,Lines!$A$5:$A$34,0)),"Unknown line"))</f>
      </c>
      <c r="R38" s="17">
        <f>IF($A38="","",IFERROR(INDEX(Lines!$D$5:$D$34,MATCH($A38,Lines!$A$5:$A$34,0)),""))</f>
      </c>
      <c r="S38" s="3">
        <f>IF($B38="","",IFERROR(INDEX(Suppliers!$B$5:$B$12,MATCH($B38,Suppliers!$A$5:$A$12,0))&amp;"",""))</f>
      </c>
      <c r="T38" s="17">
        <f>IF(OR(N($R38)&lt;=0,$F38=""),"",CEILING(MAX($R38,N($C38),N($E38)),IF(N($D38)&gt;0,$D38,1)))</f>
      </c>
      <c r="U38" s="16">
        <f>IF($T38="","",IF(AND($K38&lt;&gt;"",$L38&lt;&gt;"",$T38&gt;=N($K38)),$L38,IF(AND($I38&lt;&gt;"",$J38&lt;&gt;"",$T38&gt;=N($I38)),$J38,IF(AND($G38&lt;&gt;"",$H38&lt;&gt;"",$T38&gt;=N($G38)),$H38,$F38))))</f>
      </c>
      <c r="V38" s="15">
        <f>IF($T38="","",$T38*$U38)</f>
      </c>
      <c r="W38" s="16">
        <f>IF($S38="","",IF($S38=Setup!$B$3,1,IFERROR(IF(N(INDEX(Setup!$B$8:$B$17,MATCH($S38,Setup!$A$8:$A$17,0)))&gt;0,INDEX(Setup!$B$8:$B$17,MATCH($S38,Setup!$A$8:$A$17,0)),""),"")))</f>
      </c>
      <c r="X38" s="15">
        <f>IF($V38="","",IFERROR(INDEX(Suppliers!$K$5:$K$12,MATCH($B38,Suppliers!$A$5:$A$12,0))*$V38/INDEX(Suppliers!$I$5:$I$12,MATCH($B38,Suppliers!$A$5:$A$12,0)),0))</f>
      </c>
      <c r="Y38" s="15">
        <f>IF($V38="","",N($M38)*($V38+IF(Setup!$B$4="Yes",$X38,0)))</f>
      </c>
      <c r="Z38" s="15">
        <f>IF($V38="","",$V38+$X38+$Y38)</f>
      </c>
      <c r="AA38" s="15">
        <f>IF(OR($Z38="",$W38=""),"",$Z38*$W38)</f>
      </c>
      <c r="AB38" s="16">
        <f>IF($AA38="","",$AA38/$R38)</f>
      </c>
      <c r="AC38" s="17">
        <f>IF($T38="","",$T38-$R38)</f>
      </c>
      <c r="AD38" s="3">
        <f>IF($A38="","",IF($Q38="Unknown line","Line not on Lines",IF($S38="","Supplier not on Suppliers",IF($F38="","No price",IF($W38="","Exchange rate missing — left out","OK")))))</f>
      </c>
      <c r="AE38" s="17">
        <f>IF($AB38="","",COUNTIFS($A$5:$A$84,$A38,$AB$5:$AB$84,"&lt;"&amp;$AB38)+1)</f>
      </c>
      <c r="AF38" s="3">
        <f>IF($AE38=1,"Best","")</f>
      </c>
      <c r="AG38" s="17">
        <f>IF($T38="","",IF(AND($G38&lt;&gt;"",$H38&lt;&gt;"",$T38&lt;N($G38)),$G38,IF(AND($I38&lt;&gt;"",$J38&lt;&gt;"",$T38&lt;N($I38)),$I38,IF(AND($K38&lt;&gt;"",$L38&lt;&gt;"",$T38&lt;N($K38)),$K38,""))))</f>
      </c>
      <c r="AH38" s="15">
        <f>IF($AG38="","",CEILING($AG38,IF(N($D38)&gt;0,$D38,1))*IF($AG38=$G38,$H38,IF($AG38=$I38,$J38,$L38)))</f>
      </c>
      <c r="AI38" s="3">
        <f>IF($AH38="","",IF($AH38&lt;$V38,"Ordering "&amp;TEXT(CEILING($AG38,IF(N($D38)&gt;0,$D38,1)),"0")&amp;" costs "&amp;TEXT($V38-$AH38,"0.00")&amp;" less in goods",""))</f>
      </c>
      <c r="AJ38" s="3">
        <f>IF($AE38="","",$A38&amp;"#"&amp;$AE38)</f>
      </c>
      <c r="AK38" s="17">
        <f>IF(OR($A38="",$B38=""),0,IF(IFERROR(INDEX(Award!$D$5:$D$34,MATCH($A38,Award!$A$5:$A$34,0))&amp;"","")=$B38,1,0))</f>
      </c>
      <c r="AL38" s="15">
        <f>IF(OR($AK38&lt;&gt;1,$V38=""),"",IFERROR(INDEX(Suppliers!$N$5:$N$12,MATCH($B38,Suppliers!$A$5:$A$12,0))*$V38/INDEX(Suppliers!$L$5:$L$12,MATCH($B38,Suppliers!$A$5:$A$12,0)),0))</f>
      </c>
      <c r="AM38" s="15">
        <f>IF($AL38="","",N($M38)*($V38+IF(Setup!$B$4="Yes",$AL38,0)))</f>
      </c>
      <c r="AN38" s="15">
        <f>IF(OR($AL38="",$W38=""),"",($V38+$AL38+$AM38)*$W38)</f>
      </c>
    </row>
    <row r="39">
      <c r="A39" s="13"/>
      <c r="B39" s="6"/>
      <c r="C39" s="13"/>
      <c r="D39" s="13"/>
      <c r="E39" s="13"/>
      <c r="F39" s="22"/>
      <c r="G39" s="13"/>
      <c r="H39" s="22"/>
      <c r="I39" s="13"/>
      <c r="J39" s="22"/>
      <c r="K39" s="13"/>
      <c r="L39" s="22"/>
      <c r="M39" s="14"/>
      <c r="N39" s="13"/>
      <c r="O39" s="7"/>
      <c r="P39" s="6"/>
      <c r="Q39" s="3">
        <f>IF($A39="","",IFERROR(INDEX(Lines!$B$5:$B$34,MATCH($A39,Lines!$A$5:$A$34,0)),"Unknown line"))</f>
      </c>
      <c r="R39" s="17">
        <f>IF($A39="","",IFERROR(INDEX(Lines!$D$5:$D$34,MATCH($A39,Lines!$A$5:$A$34,0)),""))</f>
      </c>
      <c r="S39" s="3">
        <f>IF($B39="","",IFERROR(INDEX(Suppliers!$B$5:$B$12,MATCH($B39,Suppliers!$A$5:$A$12,0))&amp;"",""))</f>
      </c>
      <c r="T39" s="17">
        <f>IF(OR(N($R39)&lt;=0,$F39=""),"",CEILING(MAX($R39,N($C39),N($E39)),IF(N($D39)&gt;0,$D39,1)))</f>
      </c>
      <c r="U39" s="16">
        <f>IF($T39="","",IF(AND($K39&lt;&gt;"",$L39&lt;&gt;"",$T39&gt;=N($K39)),$L39,IF(AND($I39&lt;&gt;"",$J39&lt;&gt;"",$T39&gt;=N($I39)),$J39,IF(AND($G39&lt;&gt;"",$H39&lt;&gt;"",$T39&gt;=N($G39)),$H39,$F39))))</f>
      </c>
      <c r="V39" s="15">
        <f>IF($T39="","",$T39*$U39)</f>
      </c>
      <c r="W39" s="16">
        <f>IF($S39="","",IF($S39=Setup!$B$3,1,IFERROR(IF(N(INDEX(Setup!$B$8:$B$17,MATCH($S39,Setup!$A$8:$A$17,0)))&gt;0,INDEX(Setup!$B$8:$B$17,MATCH($S39,Setup!$A$8:$A$17,0)),""),"")))</f>
      </c>
      <c r="X39" s="15">
        <f>IF($V39="","",IFERROR(INDEX(Suppliers!$K$5:$K$12,MATCH($B39,Suppliers!$A$5:$A$12,0))*$V39/INDEX(Suppliers!$I$5:$I$12,MATCH($B39,Suppliers!$A$5:$A$12,0)),0))</f>
      </c>
      <c r="Y39" s="15">
        <f>IF($V39="","",N($M39)*($V39+IF(Setup!$B$4="Yes",$X39,0)))</f>
      </c>
      <c r="Z39" s="15">
        <f>IF($V39="","",$V39+$X39+$Y39)</f>
      </c>
      <c r="AA39" s="15">
        <f>IF(OR($Z39="",$W39=""),"",$Z39*$W39)</f>
      </c>
      <c r="AB39" s="16">
        <f>IF($AA39="","",$AA39/$R39)</f>
      </c>
      <c r="AC39" s="17">
        <f>IF($T39="","",$T39-$R39)</f>
      </c>
      <c r="AD39" s="3">
        <f>IF($A39="","",IF($Q39="Unknown line","Line not on Lines",IF($S39="","Supplier not on Suppliers",IF($F39="","No price",IF($W39="","Exchange rate missing — left out","OK")))))</f>
      </c>
      <c r="AE39" s="17">
        <f>IF($AB39="","",COUNTIFS($A$5:$A$84,$A39,$AB$5:$AB$84,"&lt;"&amp;$AB39)+1)</f>
      </c>
      <c r="AF39" s="3">
        <f>IF($AE39=1,"Best","")</f>
      </c>
      <c r="AG39" s="17">
        <f>IF($T39="","",IF(AND($G39&lt;&gt;"",$H39&lt;&gt;"",$T39&lt;N($G39)),$G39,IF(AND($I39&lt;&gt;"",$J39&lt;&gt;"",$T39&lt;N($I39)),$I39,IF(AND($K39&lt;&gt;"",$L39&lt;&gt;"",$T39&lt;N($K39)),$K39,""))))</f>
      </c>
      <c r="AH39" s="15">
        <f>IF($AG39="","",CEILING($AG39,IF(N($D39)&gt;0,$D39,1))*IF($AG39=$G39,$H39,IF($AG39=$I39,$J39,$L39)))</f>
      </c>
      <c r="AI39" s="3">
        <f>IF($AH39="","",IF($AH39&lt;$V39,"Ordering "&amp;TEXT(CEILING($AG39,IF(N($D39)&gt;0,$D39,1)),"0")&amp;" costs "&amp;TEXT($V39-$AH39,"0.00")&amp;" less in goods",""))</f>
      </c>
      <c r="AJ39" s="3">
        <f>IF($AE39="","",$A39&amp;"#"&amp;$AE39)</f>
      </c>
      <c r="AK39" s="17">
        <f>IF(OR($A39="",$B39=""),0,IF(IFERROR(INDEX(Award!$D$5:$D$34,MATCH($A39,Award!$A$5:$A$34,0))&amp;"","")=$B39,1,0))</f>
      </c>
      <c r="AL39" s="15">
        <f>IF(OR($AK39&lt;&gt;1,$V39=""),"",IFERROR(INDEX(Suppliers!$N$5:$N$12,MATCH($B39,Suppliers!$A$5:$A$12,0))*$V39/INDEX(Suppliers!$L$5:$L$12,MATCH($B39,Suppliers!$A$5:$A$12,0)),0))</f>
      </c>
      <c r="AM39" s="15">
        <f>IF($AL39="","",N($M39)*($V39+IF(Setup!$B$4="Yes",$AL39,0)))</f>
      </c>
      <c r="AN39" s="15">
        <f>IF(OR($AL39="",$W39=""),"",($V39+$AL39+$AM39)*$W39)</f>
      </c>
    </row>
    <row r="40">
      <c r="A40" s="13"/>
      <c r="B40" s="6"/>
      <c r="C40" s="13"/>
      <c r="D40" s="13"/>
      <c r="E40" s="13"/>
      <c r="F40" s="22"/>
      <c r="G40" s="13"/>
      <c r="H40" s="22"/>
      <c r="I40" s="13"/>
      <c r="J40" s="22"/>
      <c r="K40" s="13"/>
      <c r="L40" s="22"/>
      <c r="M40" s="14"/>
      <c r="N40" s="13"/>
      <c r="O40" s="7"/>
      <c r="P40" s="6"/>
      <c r="Q40" s="3">
        <f>IF($A40="","",IFERROR(INDEX(Lines!$B$5:$B$34,MATCH($A40,Lines!$A$5:$A$34,0)),"Unknown line"))</f>
      </c>
      <c r="R40" s="17">
        <f>IF($A40="","",IFERROR(INDEX(Lines!$D$5:$D$34,MATCH($A40,Lines!$A$5:$A$34,0)),""))</f>
      </c>
      <c r="S40" s="3">
        <f>IF($B40="","",IFERROR(INDEX(Suppliers!$B$5:$B$12,MATCH($B40,Suppliers!$A$5:$A$12,0))&amp;"",""))</f>
      </c>
      <c r="T40" s="17">
        <f>IF(OR(N($R40)&lt;=0,$F40=""),"",CEILING(MAX($R40,N($C40),N($E40)),IF(N($D40)&gt;0,$D40,1)))</f>
      </c>
      <c r="U40" s="16">
        <f>IF($T40="","",IF(AND($K40&lt;&gt;"",$L40&lt;&gt;"",$T40&gt;=N($K40)),$L40,IF(AND($I40&lt;&gt;"",$J40&lt;&gt;"",$T40&gt;=N($I40)),$J40,IF(AND($G40&lt;&gt;"",$H40&lt;&gt;"",$T40&gt;=N($G40)),$H40,$F40))))</f>
      </c>
      <c r="V40" s="15">
        <f>IF($T40="","",$T40*$U40)</f>
      </c>
      <c r="W40" s="16">
        <f>IF($S40="","",IF($S40=Setup!$B$3,1,IFERROR(IF(N(INDEX(Setup!$B$8:$B$17,MATCH($S40,Setup!$A$8:$A$17,0)))&gt;0,INDEX(Setup!$B$8:$B$17,MATCH($S40,Setup!$A$8:$A$17,0)),""),"")))</f>
      </c>
      <c r="X40" s="15">
        <f>IF($V40="","",IFERROR(INDEX(Suppliers!$K$5:$K$12,MATCH($B40,Suppliers!$A$5:$A$12,0))*$V40/INDEX(Suppliers!$I$5:$I$12,MATCH($B40,Suppliers!$A$5:$A$12,0)),0))</f>
      </c>
      <c r="Y40" s="15">
        <f>IF($V40="","",N($M40)*($V40+IF(Setup!$B$4="Yes",$X40,0)))</f>
      </c>
      <c r="Z40" s="15">
        <f>IF($V40="","",$V40+$X40+$Y40)</f>
      </c>
      <c r="AA40" s="15">
        <f>IF(OR($Z40="",$W40=""),"",$Z40*$W40)</f>
      </c>
      <c r="AB40" s="16">
        <f>IF($AA40="","",$AA40/$R40)</f>
      </c>
      <c r="AC40" s="17">
        <f>IF($T40="","",$T40-$R40)</f>
      </c>
      <c r="AD40" s="3">
        <f>IF($A40="","",IF($Q40="Unknown line","Line not on Lines",IF($S40="","Supplier not on Suppliers",IF($F40="","No price",IF($W40="","Exchange rate missing — left out","OK")))))</f>
      </c>
      <c r="AE40" s="17">
        <f>IF($AB40="","",COUNTIFS($A$5:$A$84,$A40,$AB$5:$AB$84,"&lt;"&amp;$AB40)+1)</f>
      </c>
      <c r="AF40" s="3">
        <f>IF($AE40=1,"Best","")</f>
      </c>
      <c r="AG40" s="17">
        <f>IF($T40="","",IF(AND($G40&lt;&gt;"",$H40&lt;&gt;"",$T40&lt;N($G40)),$G40,IF(AND($I40&lt;&gt;"",$J40&lt;&gt;"",$T40&lt;N($I40)),$I40,IF(AND($K40&lt;&gt;"",$L40&lt;&gt;"",$T40&lt;N($K40)),$K40,""))))</f>
      </c>
      <c r="AH40" s="15">
        <f>IF($AG40="","",CEILING($AG40,IF(N($D40)&gt;0,$D40,1))*IF($AG40=$G40,$H40,IF($AG40=$I40,$J40,$L40)))</f>
      </c>
      <c r="AI40" s="3">
        <f>IF($AH40="","",IF($AH40&lt;$V40,"Ordering "&amp;TEXT(CEILING($AG40,IF(N($D40)&gt;0,$D40,1)),"0")&amp;" costs "&amp;TEXT($V40-$AH40,"0.00")&amp;" less in goods",""))</f>
      </c>
      <c r="AJ40" s="3">
        <f>IF($AE40="","",$A40&amp;"#"&amp;$AE40)</f>
      </c>
      <c r="AK40" s="17">
        <f>IF(OR($A40="",$B40=""),0,IF(IFERROR(INDEX(Award!$D$5:$D$34,MATCH($A40,Award!$A$5:$A$34,0))&amp;"","")=$B40,1,0))</f>
      </c>
      <c r="AL40" s="15">
        <f>IF(OR($AK40&lt;&gt;1,$V40=""),"",IFERROR(INDEX(Suppliers!$N$5:$N$12,MATCH($B40,Suppliers!$A$5:$A$12,0))*$V40/INDEX(Suppliers!$L$5:$L$12,MATCH($B40,Suppliers!$A$5:$A$12,0)),0))</f>
      </c>
      <c r="AM40" s="15">
        <f>IF($AL40="","",N($M40)*($V40+IF(Setup!$B$4="Yes",$AL40,0)))</f>
      </c>
      <c r="AN40" s="15">
        <f>IF(OR($AL40="",$W40=""),"",($V40+$AL40+$AM40)*$W40)</f>
      </c>
    </row>
    <row r="41">
      <c r="A41" s="13"/>
      <c r="B41" s="6"/>
      <c r="C41" s="13"/>
      <c r="D41" s="13"/>
      <c r="E41" s="13"/>
      <c r="F41" s="22"/>
      <c r="G41" s="13"/>
      <c r="H41" s="22"/>
      <c r="I41" s="13"/>
      <c r="J41" s="22"/>
      <c r="K41" s="13"/>
      <c r="L41" s="22"/>
      <c r="M41" s="14"/>
      <c r="N41" s="13"/>
      <c r="O41" s="7"/>
      <c r="P41" s="6"/>
      <c r="Q41" s="3">
        <f>IF($A41="","",IFERROR(INDEX(Lines!$B$5:$B$34,MATCH($A41,Lines!$A$5:$A$34,0)),"Unknown line"))</f>
      </c>
      <c r="R41" s="17">
        <f>IF($A41="","",IFERROR(INDEX(Lines!$D$5:$D$34,MATCH($A41,Lines!$A$5:$A$34,0)),""))</f>
      </c>
      <c r="S41" s="3">
        <f>IF($B41="","",IFERROR(INDEX(Suppliers!$B$5:$B$12,MATCH($B41,Suppliers!$A$5:$A$12,0))&amp;"",""))</f>
      </c>
      <c r="T41" s="17">
        <f>IF(OR(N($R41)&lt;=0,$F41=""),"",CEILING(MAX($R41,N($C41),N($E41)),IF(N($D41)&gt;0,$D41,1)))</f>
      </c>
      <c r="U41" s="16">
        <f>IF($T41="","",IF(AND($K41&lt;&gt;"",$L41&lt;&gt;"",$T41&gt;=N($K41)),$L41,IF(AND($I41&lt;&gt;"",$J41&lt;&gt;"",$T41&gt;=N($I41)),$J41,IF(AND($G41&lt;&gt;"",$H41&lt;&gt;"",$T41&gt;=N($G41)),$H41,$F41))))</f>
      </c>
      <c r="V41" s="15">
        <f>IF($T41="","",$T41*$U41)</f>
      </c>
      <c r="W41" s="16">
        <f>IF($S41="","",IF($S41=Setup!$B$3,1,IFERROR(IF(N(INDEX(Setup!$B$8:$B$17,MATCH($S41,Setup!$A$8:$A$17,0)))&gt;0,INDEX(Setup!$B$8:$B$17,MATCH($S41,Setup!$A$8:$A$17,0)),""),"")))</f>
      </c>
      <c r="X41" s="15">
        <f>IF($V41="","",IFERROR(INDEX(Suppliers!$K$5:$K$12,MATCH($B41,Suppliers!$A$5:$A$12,0))*$V41/INDEX(Suppliers!$I$5:$I$12,MATCH($B41,Suppliers!$A$5:$A$12,0)),0))</f>
      </c>
      <c r="Y41" s="15">
        <f>IF($V41="","",N($M41)*($V41+IF(Setup!$B$4="Yes",$X41,0)))</f>
      </c>
      <c r="Z41" s="15">
        <f>IF($V41="","",$V41+$X41+$Y41)</f>
      </c>
      <c r="AA41" s="15">
        <f>IF(OR($Z41="",$W41=""),"",$Z41*$W41)</f>
      </c>
      <c r="AB41" s="16">
        <f>IF($AA41="","",$AA41/$R41)</f>
      </c>
      <c r="AC41" s="17">
        <f>IF($T41="","",$T41-$R41)</f>
      </c>
      <c r="AD41" s="3">
        <f>IF($A41="","",IF($Q41="Unknown line","Line not on Lines",IF($S41="","Supplier not on Suppliers",IF($F41="","No price",IF($W41="","Exchange rate missing — left out","OK")))))</f>
      </c>
      <c r="AE41" s="17">
        <f>IF($AB41="","",COUNTIFS($A$5:$A$84,$A41,$AB$5:$AB$84,"&lt;"&amp;$AB41)+1)</f>
      </c>
      <c r="AF41" s="3">
        <f>IF($AE41=1,"Best","")</f>
      </c>
      <c r="AG41" s="17">
        <f>IF($T41="","",IF(AND($G41&lt;&gt;"",$H41&lt;&gt;"",$T41&lt;N($G41)),$G41,IF(AND($I41&lt;&gt;"",$J41&lt;&gt;"",$T41&lt;N($I41)),$I41,IF(AND($K41&lt;&gt;"",$L41&lt;&gt;"",$T41&lt;N($K41)),$K41,""))))</f>
      </c>
      <c r="AH41" s="15">
        <f>IF($AG41="","",CEILING($AG41,IF(N($D41)&gt;0,$D41,1))*IF($AG41=$G41,$H41,IF($AG41=$I41,$J41,$L41)))</f>
      </c>
      <c r="AI41" s="3">
        <f>IF($AH41="","",IF($AH41&lt;$V41,"Ordering "&amp;TEXT(CEILING($AG41,IF(N($D41)&gt;0,$D41,1)),"0")&amp;" costs "&amp;TEXT($V41-$AH41,"0.00")&amp;" less in goods",""))</f>
      </c>
      <c r="AJ41" s="3">
        <f>IF($AE41="","",$A41&amp;"#"&amp;$AE41)</f>
      </c>
      <c r="AK41" s="17">
        <f>IF(OR($A41="",$B41=""),0,IF(IFERROR(INDEX(Award!$D$5:$D$34,MATCH($A41,Award!$A$5:$A$34,0))&amp;"","")=$B41,1,0))</f>
      </c>
      <c r="AL41" s="15">
        <f>IF(OR($AK41&lt;&gt;1,$V41=""),"",IFERROR(INDEX(Suppliers!$N$5:$N$12,MATCH($B41,Suppliers!$A$5:$A$12,0))*$V41/INDEX(Suppliers!$L$5:$L$12,MATCH($B41,Suppliers!$A$5:$A$12,0)),0))</f>
      </c>
      <c r="AM41" s="15">
        <f>IF($AL41="","",N($M41)*($V41+IF(Setup!$B$4="Yes",$AL41,0)))</f>
      </c>
      <c r="AN41" s="15">
        <f>IF(OR($AL41="",$W41=""),"",($V41+$AL41+$AM41)*$W41)</f>
      </c>
    </row>
    <row r="42">
      <c r="A42" s="13"/>
      <c r="B42" s="6"/>
      <c r="C42" s="13"/>
      <c r="D42" s="13"/>
      <c r="E42" s="13"/>
      <c r="F42" s="22"/>
      <c r="G42" s="13"/>
      <c r="H42" s="22"/>
      <c r="I42" s="13"/>
      <c r="J42" s="22"/>
      <c r="K42" s="13"/>
      <c r="L42" s="22"/>
      <c r="M42" s="14"/>
      <c r="N42" s="13"/>
      <c r="O42" s="7"/>
      <c r="P42" s="6"/>
      <c r="Q42" s="3">
        <f>IF($A42="","",IFERROR(INDEX(Lines!$B$5:$B$34,MATCH($A42,Lines!$A$5:$A$34,0)),"Unknown line"))</f>
      </c>
      <c r="R42" s="17">
        <f>IF($A42="","",IFERROR(INDEX(Lines!$D$5:$D$34,MATCH($A42,Lines!$A$5:$A$34,0)),""))</f>
      </c>
      <c r="S42" s="3">
        <f>IF($B42="","",IFERROR(INDEX(Suppliers!$B$5:$B$12,MATCH($B42,Suppliers!$A$5:$A$12,0))&amp;"",""))</f>
      </c>
      <c r="T42" s="17">
        <f>IF(OR(N($R42)&lt;=0,$F42=""),"",CEILING(MAX($R42,N($C42),N($E42)),IF(N($D42)&gt;0,$D42,1)))</f>
      </c>
      <c r="U42" s="16">
        <f>IF($T42="","",IF(AND($K42&lt;&gt;"",$L42&lt;&gt;"",$T42&gt;=N($K42)),$L42,IF(AND($I42&lt;&gt;"",$J42&lt;&gt;"",$T42&gt;=N($I42)),$J42,IF(AND($G42&lt;&gt;"",$H42&lt;&gt;"",$T42&gt;=N($G42)),$H42,$F42))))</f>
      </c>
      <c r="V42" s="15">
        <f>IF($T42="","",$T42*$U42)</f>
      </c>
      <c r="W42" s="16">
        <f>IF($S42="","",IF($S42=Setup!$B$3,1,IFERROR(IF(N(INDEX(Setup!$B$8:$B$17,MATCH($S42,Setup!$A$8:$A$17,0)))&gt;0,INDEX(Setup!$B$8:$B$17,MATCH($S42,Setup!$A$8:$A$17,0)),""),"")))</f>
      </c>
      <c r="X42" s="15">
        <f>IF($V42="","",IFERROR(INDEX(Suppliers!$K$5:$K$12,MATCH($B42,Suppliers!$A$5:$A$12,0))*$V42/INDEX(Suppliers!$I$5:$I$12,MATCH($B42,Suppliers!$A$5:$A$12,0)),0))</f>
      </c>
      <c r="Y42" s="15">
        <f>IF($V42="","",N($M42)*($V42+IF(Setup!$B$4="Yes",$X42,0)))</f>
      </c>
      <c r="Z42" s="15">
        <f>IF($V42="","",$V42+$X42+$Y42)</f>
      </c>
      <c r="AA42" s="15">
        <f>IF(OR($Z42="",$W42=""),"",$Z42*$W42)</f>
      </c>
      <c r="AB42" s="16">
        <f>IF($AA42="","",$AA42/$R42)</f>
      </c>
      <c r="AC42" s="17">
        <f>IF($T42="","",$T42-$R42)</f>
      </c>
      <c r="AD42" s="3">
        <f>IF($A42="","",IF($Q42="Unknown line","Line not on Lines",IF($S42="","Supplier not on Suppliers",IF($F42="","No price",IF($W42="","Exchange rate missing — left out","OK")))))</f>
      </c>
      <c r="AE42" s="17">
        <f>IF($AB42="","",COUNTIFS($A$5:$A$84,$A42,$AB$5:$AB$84,"&lt;"&amp;$AB42)+1)</f>
      </c>
      <c r="AF42" s="3">
        <f>IF($AE42=1,"Best","")</f>
      </c>
      <c r="AG42" s="17">
        <f>IF($T42="","",IF(AND($G42&lt;&gt;"",$H42&lt;&gt;"",$T42&lt;N($G42)),$G42,IF(AND($I42&lt;&gt;"",$J42&lt;&gt;"",$T42&lt;N($I42)),$I42,IF(AND($K42&lt;&gt;"",$L42&lt;&gt;"",$T42&lt;N($K42)),$K42,""))))</f>
      </c>
      <c r="AH42" s="15">
        <f>IF($AG42="","",CEILING($AG42,IF(N($D42)&gt;0,$D42,1))*IF($AG42=$G42,$H42,IF($AG42=$I42,$J42,$L42)))</f>
      </c>
      <c r="AI42" s="3">
        <f>IF($AH42="","",IF($AH42&lt;$V42,"Ordering "&amp;TEXT(CEILING($AG42,IF(N($D42)&gt;0,$D42,1)),"0")&amp;" costs "&amp;TEXT($V42-$AH42,"0.00")&amp;" less in goods",""))</f>
      </c>
      <c r="AJ42" s="3">
        <f>IF($AE42="","",$A42&amp;"#"&amp;$AE42)</f>
      </c>
      <c r="AK42" s="17">
        <f>IF(OR($A42="",$B42=""),0,IF(IFERROR(INDEX(Award!$D$5:$D$34,MATCH($A42,Award!$A$5:$A$34,0))&amp;"","")=$B42,1,0))</f>
      </c>
      <c r="AL42" s="15">
        <f>IF(OR($AK42&lt;&gt;1,$V42=""),"",IFERROR(INDEX(Suppliers!$N$5:$N$12,MATCH($B42,Suppliers!$A$5:$A$12,0))*$V42/INDEX(Suppliers!$L$5:$L$12,MATCH($B42,Suppliers!$A$5:$A$12,0)),0))</f>
      </c>
      <c r="AM42" s="15">
        <f>IF($AL42="","",N($M42)*($V42+IF(Setup!$B$4="Yes",$AL42,0)))</f>
      </c>
      <c r="AN42" s="15">
        <f>IF(OR($AL42="",$W42=""),"",($V42+$AL42+$AM42)*$W42)</f>
      </c>
    </row>
    <row r="43">
      <c r="A43" s="13"/>
      <c r="B43" s="6"/>
      <c r="C43" s="13"/>
      <c r="D43" s="13"/>
      <c r="E43" s="13"/>
      <c r="F43" s="22"/>
      <c r="G43" s="13"/>
      <c r="H43" s="22"/>
      <c r="I43" s="13"/>
      <c r="J43" s="22"/>
      <c r="K43" s="13"/>
      <c r="L43" s="22"/>
      <c r="M43" s="14"/>
      <c r="N43" s="13"/>
      <c r="O43" s="7"/>
      <c r="P43" s="6"/>
      <c r="Q43" s="3">
        <f>IF($A43="","",IFERROR(INDEX(Lines!$B$5:$B$34,MATCH($A43,Lines!$A$5:$A$34,0)),"Unknown line"))</f>
      </c>
      <c r="R43" s="17">
        <f>IF($A43="","",IFERROR(INDEX(Lines!$D$5:$D$34,MATCH($A43,Lines!$A$5:$A$34,0)),""))</f>
      </c>
      <c r="S43" s="3">
        <f>IF($B43="","",IFERROR(INDEX(Suppliers!$B$5:$B$12,MATCH($B43,Suppliers!$A$5:$A$12,0))&amp;"",""))</f>
      </c>
      <c r="T43" s="17">
        <f>IF(OR(N($R43)&lt;=0,$F43=""),"",CEILING(MAX($R43,N($C43),N($E43)),IF(N($D43)&gt;0,$D43,1)))</f>
      </c>
      <c r="U43" s="16">
        <f>IF($T43="","",IF(AND($K43&lt;&gt;"",$L43&lt;&gt;"",$T43&gt;=N($K43)),$L43,IF(AND($I43&lt;&gt;"",$J43&lt;&gt;"",$T43&gt;=N($I43)),$J43,IF(AND($G43&lt;&gt;"",$H43&lt;&gt;"",$T43&gt;=N($G43)),$H43,$F43))))</f>
      </c>
      <c r="V43" s="15">
        <f>IF($T43="","",$T43*$U43)</f>
      </c>
      <c r="W43" s="16">
        <f>IF($S43="","",IF($S43=Setup!$B$3,1,IFERROR(IF(N(INDEX(Setup!$B$8:$B$17,MATCH($S43,Setup!$A$8:$A$17,0)))&gt;0,INDEX(Setup!$B$8:$B$17,MATCH($S43,Setup!$A$8:$A$17,0)),""),"")))</f>
      </c>
      <c r="X43" s="15">
        <f>IF($V43="","",IFERROR(INDEX(Suppliers!$K$5:$K$12,MATCH($B43,Suppliers!$A$5:$A$12,0))*$V43/INDEX(Suppliers!$I$5:$I$12,MATCH($B43,Suppliers!$A$5:$A$12,0)),0))</f>
      </c>
      <c r="Y43" s="15">
        <f>IF($V43="","",N($M43)*($V43+IF(Setup!$B$4="Yes",$X43,0)))</f>
      </c>
      <c r="Z43" s="15">
        <f>IF($V43="","",$V43+$X43+$Y43)</f>
      </c>
      <c r="AA43" s="15">
        <f>IF(OR($Z43="",$W43=""),"",$Z43*$W43)</f>
      </c>
      <c r="AB43" s="16">
        <f>IF($AA43="","",$AA43/$R43)</f>
      </c>
      <c r="AC43" s="17">
        <f>IF($T43="","",$T43-$R43)</f>
      </c>
      <c r="AD43" s="3">
        <f>IF($A43="","",IF($Q43="Unknown line","Line not on Lines",IF($S43="","Supplier not on Suppliers",IF($F43="","No price",IF($W43="","Exchange rate missing — left out","OK")))))</f>
      </c>
      <c r="AE43" s="17">
        <f>IF($AB43="","",COUNTIFS($A$5:$A$84,$A43,$AB$5:$AB$84,"&lt;"&amp;$AB43)+1)</f>
      </c>
      <c r="AF43" s="3">
        <f>IF($AE43=1,"Best","")</f>
      </c>
      <c r="AG43" s="17">
        <f>IF($T43="","",IF(AND($G43&lt;&gt;"",$H43&lt;&gt;"",$T43&lt;N($G43)),$G43,IF(AND($I43&lt;&gt;"",$J43&lt;&gt;"",$T43&lt;N($I43)),$I43,IF(AND($K43&lt;&gt;"",$L43&lt;&gt;"",$T43&lt;N($K43)),$K43,""))))</f>
      </c>
      <c r="AH43" s="15">
        <f>IF($AG43="","",CEILING($AG43,IF(N($D43)&gt;0,$D43,1))*IF($AG43=$G43,$H43,IF($AG43=$I43,$J43,$L43)))</f>
      </c>
      <c r="AI43" s="3">
        <f>IF($AH43="","",IF($AH43&lt;$V43,"Ordering "&amp;TEXT(CEILING($AG43,IF(N($D43)&gt;0,$D43,1)),"0")&amp;" costs "&amp;TEXT($V43-$AH43,"0.00")&amp;" less in goods",""))</f>
      </c>
      <c r="AJ43" s="3">
        <f>IF($AE43="","",$A43&amp;"#"&amp;$AE43)</f>
      </c>
      <c r="AK43" s="17">
        <f>IF(OR($A43="",$B43=""),0,IF(IFERROR(INDEX(Award!$D$5:$D$34,MATCH($A43,Award!$A$5:$A$34,0))&amp;"","")=$B43,1,0))</f>
      </c>
      <c r="AL43" s="15">
        <f>IF(OR($AK43&lt;&gt;1,$V43=""),"",IFERROR(INDEX(Suppliers!$N$5:$N$12,MATCH($B43,Suppliers!$A$5:$A$12,0))*$V43/INDEX(Suppliers!$L$5:$L$12,MATCH($B43,Suppliers!$A$5:$A$12,0)),0))</f>
      </c>
      <c r="AM43" s="15">
        <f>IF($AL43="","",N($M43)*($V43+IF(Setup!$B$4="Yes",$AL43,0)))</f>
      </c>
      <c r="AN43" s="15">
        <f>IF(OR($AL43="",$W43=""),"",($V43+$AL43+$AM43)*$W43)</f>
      </c>
    </row>
    <row r="44">
      <c r="A44" s="13"/>
      <c r="B44" s="6"/>
      <c r="C44" s="13"/>
      <c r="D44" s="13"/>
      <c r="E44" s="13"/>
      <c r="F44" s="22"/>
      <c r="G44" s="13"/>
      <c r="H44" s="22"/>
      <c r="I44" s="13"/>
      <c r="J44" s="22"/>
      <c r="K44" s="13"/>
      <c r="L44" s="22"/>
      <c r="M44" s="14"/>
      <c r="N44" s="13"/>
      <c r="O44" s="7"/>
      <c r="P44" s="6"/>
      <c r="Q44" s="3">
        <f>IF($A44="","",IFERROR(INDEX(Lines!$B$5:$B$34,MATCH($A44,Lines!$A$5:$A$34,0)),"Unknown line"))</f>
      </c>
      <c r="R44" s="17">
        <f>IF($A44="","",IFERROR(INDEX(Lines!$D$5:$D$34,MATCH($A44,Lines!$A$5:$A$34,0)),""))</f>
      </c>
      <c r="S44" s="3">
        <f>IF($B44="","",IFERROR(INDEX(Suppliers!$B$5:$B$12,MATCH($B44,Suppliers!$A$5:$A$12,0))&amp;"",""))</f>
      </c>
      <c r="T44" s="17">
        <f>IF(OR(N($R44)&lt;=0,$F44=""),"",CEILING(MAX($R44,N($C44),N($E44)),IF(N($D44)&gt;0,$D44,1)))</f>
      </c>
      <c r="U44" s="16">
        <f>IF($T44="","",IF(AND($K44&lt;&gt;"",$L44&lt;&gt;"",$T44&gt;=N($K44)),$L44,IF(AND($I44&lt;&gt;"",$J44&lt;&gt;"",$T44&gt;=N($I44)),$J44,IF(AND($G44&lt;&gt;"",$H44&lt;&gt;"",$T44&gt;=N($G44)),$H44,$F44))))</f>
      </c>
      <c r="V44" s="15">
        <f>IF($T44="","",$T44*$U44)</f>
      </c>
      <c r="W44" s="16">
        <f>IF($S44="","",IF($S44=Setup!$B$3,1,IFERROR(IF(N(INDEX(Setup!$B$8:$B$17,MATCH($S44,Setup!$A$8:$A$17,0)))&gt;0,INDEX(Setup!$B$8:$B$17,MATCH($S44,Setup!$A$8:$A$17,0)),""),"")))</f>
      </c>
      <c r="X44" s="15">
        <f>IF($V44="","",IFERROR(INDEX(Suppliers!$K$5:$K$12,MATCH($B44,Suppliers!$A$5:$A$12,0))*$V44/INDEX(Suppliers!$I$5:$I$12,MATCH($B44,Suppliers!$A$5:$A$12,0)),0))</f>
      </c>
      <c r="Y44" s="15">
        <f>IF($V44="","",N($M44)*($V44+IF(Setup!$B$4="Yes",$X44,0)))</f>
      </c>
      <c r="Z44" s="15">
        <f>IF($V44="","",$V44+$X44+$Y44)</f>
      </c>
      <c r="AA44" s="15">
        <f>IF(OR($Z44="",$W44=""),"",$Z44*$W44)</f>
      </c>
      <c r="AB44" s="16">
        <f>IF($AA44="","",$AA44/$R44)</f>
      </c>
      <c r="AC44" s="17">
        <f>IF($T44="","",$T44-$R44)</f>
      </c>
      <c r="AD44" s="3">
        <f>IF($A44="","",IF($Q44="Unknown line","Line not on Lines",IF($S44="","Supplier not on Suppliers",IF($F44="","No price",IF($W44="","Exchange rate missing — left out","OK")))))</f>
      </c>
      <c r="AE44" s="17">
        <f>IF($AB44="","",COUNTIFS($A$5:$A$84,$A44,$AB$5:$AB$84,"&lt;"&amp;$AB44)+1)</f>
      </c>
      <c r="AF44" s="3">
        <f>IF($AE44=1,"Best","")</f>
      </c>
      <c r="AG44" s="17">
        <f>IF($T44="","",IF(AND($G44&lt;&gt;"",$H44&lt;&gt;"",$T44&lt;N($G44)),$G44,IF(AND($I44&lt;&gt;"",$J44&lt;&gt;"",$T44&lt;N($I44)),$I44,IF(AND($K44&lt;&gt;"",$L44&lt;&gt;"",$T44&lt;N($K44)),$K44,""))))</f>
      </c>
      <c r="AH44" s="15">
        <f>IF($AG44="","",CEILING($AG44,IF(N($D44)&gt;0,$D44,1))*IF($AG44=$G44,$H44,IF($AG44=$I44,$J44,$L44)))</f>
      </c>
      <c r="AI44" s="3">
        <f>IF($AH44="","",IF($AH44&lt;$V44,"Ordering "&amp;TEXT(CEILING($AG44,IF(N($D44)&gt;0,$D44,1)),"0")&amp;" costs "&amp;TEXT($V44-$AH44,"0.00")&amp;" less in goods",""))</f>
      </c>
      <c r="AJ44" s="3">
        <f>IF($AE44="","",$A44&amp;"#"&amp;$AE44)</f>
      </c>
      <c r="AK44" s="17">
        <f>IF(OR($A44="",$B44=""),0,IF(IFERROR(INDEX(Award!$D$5:$D$34,MATCH($A44,Award!$A$5:$A$34,0))&amp;"","")=$B44,1,0))</f>
      </c>
      <c r="AL44" s="15">
        <f>IF(OR($AK44&lt;&gt;1,$V44=""),"",IFERROR(INDEX(Suppliers!$N$5:$N$12,MATCH($B44,Suppliers!$A$5:$A$12,0))*$V44/INDEX(Suppliers!$L$5:$L$12,MATCH($B44,Suppliers!$A$5:$A$12,0)),0))</f>
      </c>
      <c r="AM44" s="15">
        <f>IF($AL44="","",N($M44)*($V44+IF(Setup!$B$4="Yes",$AL44,0)))</f>
      </c>
      <c r="AN44" s="15">
        <f>IF(OR($AL44="",$W44=""),"",($V44+$AL44+$AM44)*$W44)</f>
      </c>
    </row>
    <row r="45">
      <c r="A45" s="13"/>
      <c r="B45" s="6"/>
      <c r="C45" s="13"/>
      <c r="D45" s="13"/>
      <c r="E45" s="13"/>
      <c r="F45" s="22"/>
      <c r="G45" s="13"/>
      <c r="H45" s="22"/>
      <c r="I45" s="13"/>
      <c r="J45" s="22"/>
      <c r="K45" s="13"/>
      <c r="L45" s="22"/>
      <c r="M45" s="14"/>
      <c r="N45" s="13"/>
      <c r="O45" s="7"/>
      <c r="P45" s="6"/>
      <c r="Q45" s="3">
        <f>IF($A45="","",IFERROR(INDEX(Lines!$B$5:$B$34,MATCH($A45,Lines!$A$5:$A$34,0)),"Unknown line"))</f>
      </c>
      <c r="R45" s="17">
        <f>IF($A45="","",IFERROR(INDEX(Lines!$D$5:$D$34,MATCH($A45,Lines!$A$5:$A$34,0)),""))</f>
      </c>
      <c r="S45" s="3">
        <f>IF($B45="","",IFERROR(INDEX(Suppliers!$B$5:$B$12,MATCH($B45,Suppliers!$A$5:$A$12,0))&amp;"",""))</f>
      </c>
      <c r="T45" s="17">
        <f>IF(OR(N($R45)&lt;=0,$F45=""),"",CEILING(MAX($R45,N($C45),N($E45)),IF(N($D45)&gt;0,$D45,1)))</f>
      </c>
      <c r="U45" s="16">
        <f>IF($T45="","",IF(AND($K45&lt;&gt;"",$L45&lt;&gt;"",$T45&gt;=N($K45)),$L45,IF(AND($I45&lt;&gt;"",$J45&lt;&gt;"",$T45&gt;=N($I45)),$J45,IF(AND($G45&lt;&gt;"",$H45&lt;&gt;"",$T45&gt;=N($G45)),$H45,$F45))))</f>
      </c>
      <c r="V45" s="15">
        <f>IF($T45="","",$T45*$U45)</f>
      </c>
      <c r="W45" s="16">
        <f>IF($S45="","",IF($S45=Setup!$B$3,1,IFERROR(IF(N(INDEX(Setup!$B$8:$B$17,MATCH($S45,Setup!$A$8:$A$17,0)))&gt;0,INDEX(Setup!$B$8:$B$17,MATCH($S45,Setup!$A$8:$A$17,0)),""),"")))</f>
      </c>
      <c r="X45" s="15">
        <f>IF($V45="","",IFERROR(INDEX(Suppliers!$K$5:$K$12,MATCH($B45,Suppliers!$A$5:$A$12,0))*$V45/INDEX(Suppliers!$I$5:$I$12,MATCH($B45,Suppliers!$A$5:$A$12,0)),0))</f>
      </c>
      <c r="Y45" s="15">
        <f>IF($V45="","",N($M45)*($V45+IF(Setup!$B$4="Yes",$X45,0)))</f>
      </c>
      <c r="Z45" s="15">
        <f>IF($V45="","",$V45+$X45+$Y45)</f>
      </c>
      <c r="AA45" s="15">
        <f>IF(OR($Z45="",$W45=""),"",$Z45*$W45)</f>
      </c>
      <c r="AB45" s="16">
        <f>IF($AA45="","",$AA45/$R45)</f>
      </c>
      <c r="AC45" s="17">
        <f>IF($T45="","",$T45-$R45)</f>
      </c>
      <c r="AD45" s="3">
        <f>IF($A45="","",IF($Q45="Unknown line","Line not on Lines",IF($S45="","Supplier not on Suppliers",IF($F45="","No price",IF($W45="","Exchange rate missing — left out","OK")))))</f>
      </c>
      <c r="AE45" s="17">
        <f>IF($AB45="","",COUNTIFS($A$5:$A$84,$A45,$AB$5:$AB$84,"&lt;"&amp;$AB45)+1)</f>
      </c>
      <c r="AF45" s="3">
        <f>IF($AE45=1,"Best","")</f>
      </c>
      <c r="AG45" s="17">
        <f>IF($T45="","",IF(AND($G45&lt;&gt;"",$H45&lt;&gt;"",$T45&lt;N($G45)),$G45,IF(AND($I45&lt;&gt;"",$J45&lt;&gt;"",$T45&lt;N($I45)),$I45,IF(AND($K45&lt;&gt;"",$L45&lt;&gt;"",$T45&lt;N($K45)),$K45,""))))</f>
      </c>
      <c r="AH45" s="15">
        <f>IF($AG45="","",CEILING($AG45,IF(N($D45)&gt;0,$D45,1))*IF($AG45=$G45,$H45,IF($AG45=$I45,$J45,$L45)))</f>
      </c>
      <c r="AI45" s="3">
        <f>IF($AH45="","",IF($AH45&lt;$V45,"Ordering "&amp;TEXT(CEILING($AG45,IF(N($D45)&gt;0,$D45,1)),"0")&amp;" costs "&amp;TEXT($V45-$AH45,"0.00")&amp;" less in goods",""))</f>
      </c>
      <c r="AJ45" s="3">
        <f>IF($AE45="","",$A45&amp;"#"&amp;$AE45)</f>
      </c>
      <c r="AK45" s="17">
        <f>IF(OR($A45="",$B45=""),0,IF(IFERROR(INDEX(Award!$D$5:$D$34,MATCH($A45,Award!$A$5:$A$34,0))&amp;"","")=$B45,1,0))</f>
      </c>
      <c r="AL45" s="15">
        <f>IF(OR($AK45&lt;&gt;1,$V45=""),"",IFERROR(INDEX(Suppliers!$N$5:$N$12,MATCH($B45,Suppliers!$A$5:$A$12,0))*$V45/INDEX(Suppliers!$L$5:$L$12,MATCH($B45,Suppliers!$A$5:$A$12,0)),0))</f>
      </c>
      <c r="AM45" s="15">
        <f>IF($AL45="","",N($M45)*($V45+IF(Setup!$B$4="Yes",$AL45,0)))</f>
      </c>
      <c r="AN45" s="15">
        <f>IF(OR($AL45="",$W45=""),"",($V45+$AL45+$AM45)*$W45)</f>
      </c>
    </row>
    <row r="46">
      <c r="A46" s="13"/>
      <c r="B46" s="6"/>
      <c r="C46" s="13"/>
      <c r="D46" s="13"/>
      <c r="E46" s="13"/>
      <c r="F46" s="22"/>
      <c r="G46" s="13"/>
      <c r="H46" s="22"/>
      <c r="I46" s="13"/>
      <c r="J46" s="22"/>
      <c r="K46" s="13"/>
      <c r="L46" s="22"/>
      <c r="M46" s="14"/>
      <c r="N46" s="13"/>
      <c r="O46" s="7"/>
      <c r="P46" s="6"/>
      <c r="Q46" s="3">
        <f>IF($A46="","",IFERROR(INDEX(Lines!$B$5:$B$34,MATCH($A46,Lines!$A$5:$A$34,0)),"Unknown line"))</f>
      </c>
      <c r="R46" s="17">
        <f>IF($A46="","",IFERROR(INDEX(Lines!$D$5:$D$34,MATCH($A46,Lines!$A$5:$A$34,0)),""))</f>
      </c>
      <c r="S46" s="3">
        <f>IF($B46="","",IFERROR(INDEX(Suppliers!$B$5:$B$12,MATCH($B46,Suppliers!$A$5:$A$12,0))&amp;"",""))</f>
      </c>
      <c r="T46" s="17">
        <f>IF(OR(N($R46)&lt;=0,$F46=""),"",CEILING(MAX($R46,N($C46),N($E46)),IF(N($D46)&gt;0,$D46,1)))</f>
      </c>
      <c r="U46" s="16">
        <f>IF($T46="","",IF(AND($K46&lt;&gt;"",$L46&lt;&gt;"",$T46&gt;=N($K46)),$L46,IF(AND($I46&lt;&gt;"",$J46&lt;&gt;"",$T46&gt;=N($I46)),$J46,IF(AND($G46&lt;&gt;"",$H46&lt;&gt;"",$T46&gt;=N($G46)),$H46,$F46))))</f>
      </c>
      <c r="V46" s="15">
        <f>IF($T46="","",$T46*$U46)</f>
      </c>
      <c r="W46" s="16">
        <f>IF($S46="","",IF($S46=Setup!$B$3,1,IFERROR(IF(N(INDEX(Setup!$B$8:$B$17,MATCH($S46,Setup!$A$8:$A$17,0)))&gt;0,INDEX(Setup!$B$8:$B$17,MATCH($S46,Setup!$A$8:$A$17,0)),""),"")))</f>
      </c>
      <c r="X46" s="15">
        <f>IF($V46="","",IFERROR(INDEX(Suppliers!$K$5:$K$12,MATCH($B46,Suppliers!$A$5:$A$12,0))*$V46/INDEX(Suppliers!$I$5:$I$12,MATCH($B46,Suppliers!$A$5:$A$12,0)),0))</f>
      </c>
      <c r="Y46" s="15">
        <f>IF($V46="","",N($M46)*($V46+IF(Setup!$B$4="Yes",$X46,0)))</f>
      </c>
      <c r="Z46" s="15">
        <f>IF($V46="","",$V46+$X46+$Y46)</f>
      </c>
      <c r="AA46" s="15">
        <f>IF(OR($Z46="",$W46=""),"",$Z46*$W46)</f>
      </c>
      <c r="AB46" s="16">
        <f>IF($AA46="","",$AA46/$R46)</f>
      </c>
      <c r="AC46" s="17">
        <f>IF($T46="","",$T46-$R46)</f>
      </c>
      <c r="AD46" s="3">
        <f>IF($A46="","",IF($Q46="Unknown line","Line not on Lines",IF($S46="","Supplier not on Suppliers",IF($F46="","No price",IF($W46="","Exchange rate missing — left out","OK")))))</f>
      </c>
      <c r="AE46" s="17">
        <f>IF($AB46="","",COUNTIFS($A$5:$A$84,$A46,$AB$5:$AB$84,"&lt;"&amp;$AB46)+1)</f>
      </c>
      <c r="AF46" s="3">
        <f>IF($AE46=1,"Best","")</f>
      </c>
      <c r="AG46" s="17">
        <f>IF($T46="","",IF(AND($G46&lt;&gt;"",$H46&lt;&gt;"",$T46&lt;N($G46)),$G46,IF(AND($I46&lt;&gt;"",$J46&lt;&gt;"",$T46&lt;N($I46)),$I46,IF(AND($K46&lt;&gt;"",$L46&lt;&gt;"",$T46&lt;N($K46)),$K46,""))))</f>
      </c>
      <c r="AH46" s="15">
        <f>IF($AG46="","",CEILING($AG46,IF(N($D46)&gt;0,$D46,1))*IF($AG46=$G46,$H46,IF($AG46=$I46,$J46,$L46)))</f>
      </c>
      <c r="AI46" s="3">
        <f>IF($AH46="","",IF($AH46&lt;$V46,"Ordering "&amp;TEXT(CEILING($AG46,IF(N($D46)&gt;0,$D46,1)),"0")&amp;" costs "&amp;TEXT($V46-$AH46,"0.00")&amp;" less in goods",""))</f>
      </c>
      <c r="AJ46" s="3">
        <f>IF($AE46="","",$A46&amp;"#"&amp;$AE46)</f>
      </c>
      <c r="AK46" s="17">
        <f>IF(OR($A46="",$B46=""),0,IF(IFERROR(INDEX(Award!$D$5:$D$34,MATCH($A46,Award!$A$5:$A$34,0))&amp;"","")=$B46,1,0))</f>
      </c>
      <c r="AL46" s="15">
        <f>IF(OR($AK46&lt;&gt;1,$V46=""),"",IFERROR(INDEX(Suppliers!$N$5:$N$12,MATCH($B46,Suppliers!$A$5:$A$12,0))*$V46/INDEX(Suppliers!$L$5:$L$12,MATCH($B46,Suppliers!$A$5:$A$12,0)),0))</f>
      </c>
      <c r="AM46" s="15">
        <f>IF($AL46="","",N($M46)*($V46+IF(Setup!$B$4="Yes",$AL46,0)))</f>
      </c>
      <c r="AN46" s="15">
        <f>IF(OR($AL46="",$W46=""),"",($V46+$AL46+$AM46)*$W46)</f>
      </c>
    </row>
    <row r="47">
      <c r="A47" s="13"/>
      <c r="B47" s="6"/>
      <c r="C47" s="13"/>
      <c r="D47" s="13"/>
      <c r="E47" s="13"/>
      <c r="F47" s="22"/>
      <c r="G47" s="13"/>
      <c r="H47" s="22"/>
      <c r="I47" s="13"/>
      <c r="J47" s="22"/>
      <c r="K47" s="13"/>
      <c r="L47" s="22"/>
      <c r="M47" s="14"/>
      <c r="N47" s="13"/>
      <c r="O47" s="7"/>
      <c r="P47" s="6"/>
      <c r="Q47" s="3">
        <f>IF($A47="","",IFERROR(INDEX(Lines!$B$5:$B$34,MATCH($A47,Lines!$A$5:$A$34,0)),"Unknown line"))</f>
      </c>
      <c r="R47" s="17">
        <f>IF($A47="","",IFERROR(INDEX(Lines!$D$5:$D$34,MATCH($A47,Lines!$A$5:$A$34,0)),""))</f>
      </c>
      <c r="S47" s="3">
        <f>IF($B47="","",IFERROR(INDEX(Suppliers!$B$5:$B$12,MATCH($B47,Suppliers!$A$5:$A$12,0))&amp;"",""))</f>
      </c>
      <c r="T47" s="17">
        <f>IF(OR(N($R47)&lt;=0,$F47=""),"",CEILING(MAX($R47,N($C47),N($E47)),IF(N($D47)&gt;0,$D47,1)))</f>
      </c>
      <c r="U47" s="16">
        <f>IF($T47="","",IF(AND($K47&lt;&gt;"",$L47&lt;&gt;"",$T47&gt;=N($K47)),$L47,IF(AND($I47&lt;&gt;"",$J47&lt;&gt;"",$T47&gt;=N($I47)),$J47,IF(AND($G47&lt;&gt;"",$H47&lt;&gt;"",$T47&gt;=N($G47)),$H47,$F47))))</f>
      </c>
      <c r="V47" s="15">
        <f>IF($T47="","",$T47*$U47)</f>
      </c>
      <c r="W47" s="16">
        <f>IF($S47="","",IF($S47=Setup!$B$3,1,IFERROR(IF(N(INDEX(Setup!$B$8:$B$17,MATCH($S47,Setup!$A$8:$A$17,0)))&gt;0,INDEX(Setup!$B$8:$B$17,MATCH($S47,Setup!$A$8:$A$17,0)),""),"")))</f>
      </c>
      <c r="X47" s="15">
        <f>IF($V47="","",IFERROR(INDEX(Suppliers!$K$5:$K$12,MATCH($B47,Suppliers!$A$5:$A$12,0))*$V47/INDEX(Suppliers!$I$5:$I$12,MATCH($B47,Suppliers!$A$5:$A$12,0)),0))</f>
      </c>
      <c r="Y47" s="15">
        <f>IF($V47="","",N($M47)*($V47+IF(Setup!$B$4="Yes",$X47,0)))</f>
      </c>
      <c r="Z47" s="15">
        <f>IF($V47="","",$V47+$X47+$Y47)</f>
      </c>
      <c r="AA47" s="15">
        <f>IF(OR($Z47="",$W47=""),"",$Z47*$W47)</f>
      </c>
      <c r="AB47" s="16">
        <f>IF($AA47="","",$AA47/$R47)</f>
      </c>
      <c r="AC47" s="17">
        <f>IF($T47="","",$T47-$R47)</f>
      </c>
      <c r="AD47" s="3">
        <f>IF($A47="","",IF($Q47="Unknown line","Line not on Lines",IF($S47="","Supplier not on Suppliers",IF($F47="","No price",IF($W47="","Exchange rate missing — left out","OK")))))</f>
      </c>
      <c r="AE47" s="17">
        <f>IF($AB47="","",COUNTIFS($A$5:$A$84,$A47,$AB$5:$AB$84,"&lt;"&amp;$AB47)+1)</f>
      </c>
      <c r="AF47" s="3">
        <f>IF($AE47=1,"Best","")</f>
      </c>
      <c r="AG47" s="17">
        <f>IF($T47="","",IF(AND($G47&lt;&gt;"",$H47&lt;&gt;"",$T47&lt;N($G47)),$G47,IF(AND($I47&lt;&gt;"",$J47&lt;&gt;"",$T47&lt;N($I47)),$I47,IF(AND($K47&lt;&gt;"",$L47&lt;&gt;"",$T47&lt;N($K47)),$K47,""))))</f>
      </c>
      <c r="AH47" s="15">
        <f>IF($AG47="","",CEILING($AG47,IF(N($D47)&gt;0,$D47,1))*IF($AG47=$G47,$H47,IF($AG47=$I47,$J47,$L47)))</f>
      </c>
      <c r="AI47" s="3">
        <f>IF($AH47="","",IF($AH47&lt;$V47,"Ordering "&amp;TEXT(CEILING($AG47,IF(N($D47)&gt;0,$D47,1)),"0")&amp;" costs "&amp;TEXT($V47-$AH47,"0.00")&amp;" less in goods",""))</f>
      </c>
      <c r="AJ47" s="3">
        <f>IF($AE47="","",$A47&amp;"#"&amp;$AE47)</f>
      </c>
      <c r="AK47" s="17">
        <f>IF(OR($A47="",$B47=""),0,IF(IFERROR(INDEX(Award!$D$5:$D$34,MATCH($A47,Award!$A$5:$A$34,0))&amp;"","")=$B47,1,0))</f>
      </c>
      <c r="AL47" s="15">
        <f>IF(OR($AK47&lt;&gt;1,$V47=""),"",IFERROR(INDEX(Suppliers!$N$5:$N$12,MATCH($B47,Suppliers!$A$5:$A$12,0))*$V47/INDEX(Suppliers!$L$5:$L$12,MATCH($B47,Suppliers!$A$5:$A$12,0)),0))</f>
      </c>
      <c r="AM47" s="15">
        <f>IF($AL47="","",N($M47)*($V47+IF(Setup!$B$4="Yes",$AL47,0)))</f>
      </c>
      <c r="AN47" s="15">
        <f>IF(OR($AL47="",$W47=""),"",($V47+$AL47+$AM47)*$W47)</f>
      </c>
    </row>
    <row r="48">
      <c r="A48" s="13"/>
      <c r="B48" s="6"/>
      <c r="C48" s="13"/>
      <c r="D48" s="13"/>
      <c r="E48" s="13"/>
      <c r="F48" s="22"/>
      <c r="G48" s="13"/>
      <c r="H48" s="22"/>
      <c r="I48" s="13"/>
      <c r="J48" s="22"/>
      <c r="K48" s="13"/>
      <c r="L48" s="22"/>
      <c r="M48" s="14"/>
      <c r="N48" s="13"/>
      <c r="O48" s="7"/>
      <c r="P48" s="6"/>
      <c r="Q48" s="3">
        <f>IF($A48="","",IFERROR(INDEX(Lines!$B$5:$B$34,MATCH($A48,Lines!$A$5:$A$34,0)),"Unknown line"))</f>
      </c>
      <c r="R48" s="17">
        <f>IF($A48="","",IFERROR(INDEX(Lines!$D$5:$D$34,MATCH($A48,Lines!$A$5:$A$34,0)),""))</f>
      </c>
      <c r="S48" s="3">
        <f>IF($B48="","",IFERROR(INDEX(Suppliers!$B$5:$B$12,MATCH($B48,Suppliers!$A$5:$A$12,0))&amp;"",""))</f>
      </c>
      <c r="T48" s="17">
        <f>IF(OR(N($R48)&lt;=0,$F48=""),"",CEILING(MAX($R48,N($C48),N($E48)),IF(N($D48)&gt;0,$D48,1)))</f>
      </c>
      <c r="U48" s="16">
        <f>IF($T48="","",IF(AND($K48&lt;&gt;"",$L48&lt;&gt;"",$T48&gt;=N($K48)),$L48,IF(AND($I48&lt;&gt;"",$J48&lt;&gt;"",$T48&gt;=N($I48)),$J48,IF(AND($G48&lt;&gt;"",$H48&lt;&gt;"",$T48&gt;=N($G48)),$H48,$F48))))</f>
      </c>
      <c r="V48" s="15">
        <f>IF($T48="","",$T48*$U48)</f>
      </c>
      <c r="W48" s="16">
        <f>IF($S48="","",IF($S48=Setup!$B$3,1,IFERROR(IF(N(INDEX(Setup!$B$8:$B$17,MATCH($S48,Setup!$A$8:$A$17,0)))&gt;0,INDEX(Setup!$B$8:$B$17,MATCH($S48,Setup!$A$8:$A$17,0)),""),"")))</f>
      </c>
      <c r="X48" s="15">
        <f>IF($V48="","",IFERROR(INDEX(Suppliers!$K$5:$K$12,MATCH($B48,Suppliers!$A$5:$A$12,0))*$V48/INDEX(Suppliers!$I$5:$I$12,MATCH($B48,Suppliers!$A$5:$A$12,0)),0))</f>
      </c>
      <c r="Y48" s="15">
        <f>IF($V48="","",N($M48)*($V48+IF(Setup!$B$4="Yes",$X48,0)))</f>
      </c>
      <c r="Z48" s="15">
        <f>IF($V48="","",$V48+$X48+$Y48)</f>
      </c>
      <c r="AA48" s="15">
        <f>IF(OR($Z48="",$W48=""),"",$Z48*$W48)</f>
      </c>
      <c r="AB48" s="16">
        <f>IF($AA48="","",$AA48/$R48)</f>
      </c>
      <c r="AC48" s="17">
        <f>IF($T48="","",$T48-$R48)</f>
      </c>
      <c r="AD48" s="3">
        <f>IF($A48="","",IF($Q48="Unknown line","Line not on Lines",IF($S48="","Supplier not on Suppliers",IF($F48="","No price",IF($W48="","Exchange rate missing — left out","OK")))))</f>
      </c>
      <c r="AE48" s="17">
        <f>IF($AB48="","",COUNTIFS($A$5:$A$84,$A48,$AB$5:$AB$84,"&lt;"&amp;$AB48)+1)</f>
      </c>
      <c r="AF48" s="3">
        <f>IF($AE48=1,"Best","")</f>
      </c>
      <c r="AG48" s="17">
        <f>IF($T48="","",IF(AND($G48&lt;&gt;"",$H48&lt;&gt;"",$T48&lt;N($G48)),$G48,IF(AND($I48&lt;&gt;"",$J48&lt;&gt;"",$T48&lt;N($I48)),$I48,IF(AND($K48&lt;&gt;"",$L48&lt;&gt;"",$T48&lt;N($K48)),$K48,""))))</f>
      </c>
      <c r="AH48" s="15">
        <f>IF($AG48="","",CEILING($AG48,IF(N($D48)&gt;0,$D48,1))*IF($AG48=$G48,$H48,IF($AG48=$I48,$J48,$L48)))</f>
      </c>
      <c r="AI48" s="3">
        <f>IF($AH48="","",IF($AH48&lt;$V48,"Ordering "&amp;TEXT(CEILING($AG48,IF(N($D48)&gt;0,$D48,1)),"0")&amp;" costs "&amp;TEXT($V48-$AH48,"0.00")&amp;" less in goods",""))</f>
      </c>
      <c r="AJ48" s="3">
        <f>IF($AE48="","",$A48&amp;"#"&amp;$AE48)</f>
      </c>
      <c r="AK48" s="17">
        <f>IF(OR($A48="",$B48=""),0,IF(IFERROR(INDEX(Award!$D$5:$D$34,MATCH($A48,Award!$A$5:$A$34,0))&amp;"","")=$B48,1,0))</f>
      </c>
      <c r="AL48" s="15">
        <f>IF(OR($AK48&lt;&gt;1,$V48=""),"",IFERROR(INDEX(Suppliers!$N$5:$N$12,MATCH($B48,Suppliers!$A$5:$A$12,0))*$V48/INDEX(Suppliers!$L$5:$L$12,MATCH($B48,Suppliers!$A$5:$A$12,0)),0))</f>
      </c>
      <c r="AM48" s="15">
        <f>IF($AL48="","",N($M48)*($V48+IF(Setup!$B$4="Yes",$AL48,0)))</f>
      </c>
      <c r="AN48" s="15">
        <f>IF(OR($AL48="",$W48=""),"",($V48+$AL48+$AM48)*$W48)</f>
      </c>
    </row>
    <row r="49">
      <c r="A49" s="13"/>
      <c r="B49" s="6"/>
      <c r="C49" s="13"/>
      <c r="D49" s="13"/>
      <c r="E49" s="13"/>
      <c r="F49" s="22"/>
      <c r="G49" s="13"/>
      <c r="H49" s="22"/>
      <c r="I49" s="13"/>
      <c r="J49" s="22"/>
      <c r="K49" s="13"/>
      <c r="L49" s="22"/>
      <c r="M49" s="14"/>
      <c r="N49" s="13"/>
      <c r="O49" s="7"/>
      <c r="P49" s="6"/>
      <c r="Q49" s="3">
        <f>IF($A49="","",IFERROR(INDEX(Lines!$B$5:$B$34,MATCH($A49,Lines!$A$5:$A$34,0)),"Unknown line"))</f>
      </c>
      <c r="R49" s="17">
        <f>IF($A49="","",IFERROR(INDEX(Lines!$D$5:$D$34,MATCH($A49,Lines!$A$5:$A$34,0)),""))</f>
      </c>
      <c r="S49" s="3">
        <f>IF($B49="","",IFERROR(INDEX(Suppliers!$B$5:$B$12,MATCH($B49,Suppliers!$A$5:$A$12,0))&amp;"",""))</f>
      </c>
      <c r="T49" s="17">
        <f>IF(OR(N($R49)&lt;=0,$F49=""),"",CEILING(MAX($R49,N($C49),N($E49)),IF(N($D49)&gt;0,$D49,1)))</f>
      </c>
      <c r="U49" s="16">
        <f>IF($T49="","",IF(AND($K49&lt;&gt;"",$L49&lt;&gt;"",$T49&gt;=N($K49)),$L49,IF(AND($I49&lt;&gt;"",$J49&lt;&gt;"",$T49&gt;=N($I49)),$J49,IF(AND($G49&lt;&gt;"",$H49&lt;&gt;"",$T49&gt;=N($G49)),$H49,$F49))))</f>
      </c>
      <c r="V49" s="15">
        <f>IF($T49="","",$T49*$U49)</f>
      </c>
      <c r="W49" s="16">
        <f>IF($S49="","",IF($S49=Setup!$B$3,1,IFERROR(IF(N(INDEX(Setup!$B$8:$B$17,MATCH($S49,Setup!$A$8:$A$17,0)))&gt;0,INDEX(Setup!$B$8:$B$17,MATCH($S49,Setup!$A$8:$A$17,0)),""),"")))</f>
      </c>
      <c r="X49" s="15">
        <f>IF($V49="","",IFERROR(INDEX(Suppliers!$K$5:$K$12,MATCH($B49,Suppliers!$A$5:$A$12,0))*$V49/INDEX(Suppliers!$I$5:$I$12,MATCH($B49,Suppliers!$A$5:$A$12,0)),0))</f>
      </c>
      <c r="Y49" s="15">
        <f>IF($V49="","",N($M49)*($V49+IF(Setup!$B$4="Yes",$X49,0)))</f>
      </c>
      <c r="Z49" s="15">
        <f>IF($V49="","",$V49+$X49+$Y49)</f>
      </c>
      <c r="AA49" s="15">
        <f>IF(OR($Z49="",$W49=""),"",$Z49*$W49)</f>
      </c>
      <c r="AB49" s="16">
        <f>IF($AA49="","",$AA49/$R49)</f>
      </c>
      <c r="AC49" s="17">
        <f>IF($T49="","",$T49-$R49)</f>
      </c>
      <c r="AD49" s="3">
        <f>IF($A49="","",IF($Q49="Unknown line","Line not on Lines",IF($S49="","Supplier not on Suppliers",IF($F49="","No price",IF($W49="","Exchange rate missing — left out","OK")))))</f>
      </c>
      <c r="AE49" s="17">
        <f>IF($AB49="","",COUNTIFS($A$5:$A$84,$A49,$AB$5:$AB$84,"&lt;"&amp;$AB49)+1)</f>
      </c>
      <c r="AF49" s="3">
        <f>IF($AE49=1,"Best","")</f>
      </c>
      <c r="AG49" s="17">
        <f>IF($T49="","",IF(AND($G49&lt;&gt;"",$H49&lt;&gt;"",$T49&lt;N($G49)),$G49,IF(AND($I49&lt;&gt;"",$J49&lt;&gt;"",$T49&lt;N($I49)),$I49,IF(AND($K49&lt;&gt;"",$L49&lt;&gt;"",$T49&lt;N($K49)),$K49,""))))</f>
      </c>
      <c r="AH49" s="15">
        <f>IF($AG49="","",CEILING($AG49,IF(N($D49)&gt;0,$D49,1))*IF($AG49=$G49,$H49,IF($AG49=$I49,$J49,$L49)))</f>
      </c>
      <c r="AI49" s="3">
        <f>IF($AH49="","",IF($AH49&lt;$V49,"Ordering "&amp;TEXT(CEILING($AG49,IF(N($D49)&gt;0,$D49,1)),"0")&amp;" costs "&amp;TEXT($V49-$AH49,"0.00")&amp;" less in goods",""))</f>
      </c>
      <c r="AJ49" s="3">
        <f>IF($AE49="","",$A49&amp;"#"&amp;$AE49)</f>
      </c>
      <c r="AK49" s="17">
        <f>IF(OR($A49="",$B49=""),0,IF(IFERROR(INDEX(Award!$D$5:$D$34,MATCH($A49,Award!$A$5:$A$34,0))&amp;"","")=$B49,1,0))</f>
      </c>
      <c r="AL49" s="15">
        <f>IF(OR($AK49&lt;&gt;1,$V49=""),"",IFERROR(INDEX(Suppliers!$N$5:$N$12,MATCH($B49,Suppliers!$A$5:$A$12,0))*$V49/INDEX(Suppliers!$L$5:$L$12,MATCH($B49,Suppliers!$A$5:$A$12,0)),0))</f>
      </c>
      <c r="AM49" s="15">
        <f>IF($AL49="","",N($M49)*($V49+IF(Setup!$B$4="Yes",$AL49,0)))</f>
      </c>
      <c r="AN49" s="15">
        <f>IF(OR($AL49="",$W49=""),"",($V49+$AL49+$AM49)*$W49)</f>
      </c>
    </row>
    <row r="50">
      <c r="A50" s="13"/>
      <c r="B50" s="6"/>
      <c r="C50" s="13"/>
      <c r="D50" s="13"/>
      <c r="E50" s="13"/>
      <c r="F50" s="22"/>
      <c r="G50" s="13"/>
      <c r="H50" s="22"/>
      <c r="I50" s="13"/>
      <c r="J50" s="22"/>
      <c r="K50" s="13"/>
      <c r="L50" s="22"/>
      <c r="M50" s="14"/>
      <c r="N50" s="13"/>
      <c r="O50" s="7"/>
      <c r="P50" s="6"/>
      <c r="Q50" s="3">
        <f>IF($A50="","",IFERROR(INDEX(Lines!$B$5:$B$34,MATCH($A50,Lines!$A$5:$A$34,0)),"Unknown line"))</f>
      </c>
      <c r="R50" s="17">
        <f>IF($A50="","",IFERROR(INDEX(Lines!$D$5:$D$34,MATCH($A50,Lines!$A$5:$A$34,0)),""))</f>
      </c>
      <c r="S50" s="3">
        <f>IF($B50="","",IFERROR(INDEX(Suppliers!$B$5:$B$12,MATCH($B50,Suppliers!$A$5:$A$12,0))&amp;"",""))</f>
      </c>
      <c r="T50" s="17">
        <f>IF(OR(N($R50)&lt;=0,$F50=""),"",CEILING(MAX($R50,N($C50),N($E50)),IF(N($D50)&gt;0,$D50,1)))</f>
      </c>
      <c r="U50" s="16">
        <f>IF($T50="","",IF(AND($K50&lt;&gt;"",$L50&lt;&gt;"",$T50&gt;=N($K50)),$L50,IF(AND($I50&lt;&gt;"",$J50&lt;&gt;"",$T50&gt;=N($I50)),$J50,IF(AND($G50&lt;&gt;"",$H50&lt;&gt;"",$T50&gt;=N($G50)),$H50,$F50))))</f>
      </c>
      <c r="V50" s="15">
        <f>IF($T50="","",$T50*$U50)</f>
      </c>
      <c r="W50" s="16">
        <f>IF($S50="","",IF($S50=Setup!$B$3,1,IFERROR(IF(N(INDEX(Setup!$B$8:$B$17,MATCH($S50,Setup!$A$8:$A$17,0)))&gt;0,INDEX(Setup!$B$8:$B$17,MATCH($S50,Setup!$A$8:$A$17,0)),""),"")))</f>
      </c>
      <c r="X50" s="15">
        <f>IF($V50="","",IFERROR(INDEX(Suppliers!$K$5:$K$12,MATCH($B50,Suppliers!$A$5:$A$12,0))*$V50/INDEX(Suppliers!$I$5:$I$12,MATCH($B50,Suppliers!$A$5:$A$12,0)),0))</f>
      </c>
      <c r="Y50" s="15">
        <f>IF($V50="","",N($M50)*($V50+IF(Setup!$B$4="Yes",$X50,0)))</f>
      </c>
      <c r="Z50" s="15">
        <f>IF($V50="","",$V50+$X50+$Y50)</f>
      </c>
      <c r="AA50" s="15">
        <f>IF(OR($Z50="",$W50=""),"",$Z50*$W50)</f>
      </c>
      <c r="AB50" s="16">
        <f>IF($AA50="","",$AA50/$R50)</f>
      </c>
      <c r="AC50" s="17">
        <f>IF($T50="","",$T50-$R50)</f>
      </c>
      <c r="AD50" s="3">
        <f>IF($A50="","",IF($Q50="Unknown line","Line not on Lines",IF($S50="","Supplier not on Suppliers",IF($F50="","No price",IF($W50="","Exchange rate missing — left out","OK")))))</f>
      </c>
      <c r="AE50" s="17">
        <f>IF($AB50="","",COUNTIFS($A$5:$A$84,$A50,$AB$5:$AB$84,"&lt;"&amp;$AB50)+1)</f>
      </c>
      <c r="AF50" s="3">
        <f>IF($AE50=1,"Best","")</f>
      </c>
      <c r="AG50" s="17">
        <f>IF($T50="","",IF(AND($G50&lt;&gt;"",$H50&lt;&gt;"",$T50&lt;N($G50)),$G50,IF(AND($I50&lt;&gt;"",$J50&lt;&gt;"",$T50&lt;N($I50)),$I50,IF(AND($K50&lt;&gt;"",$L50&lt;&gt;"",$T50&lt;N($K50)),$K50,""))))</f>
      </c>
      <c r="AH50" s="15">
        <f>IF($AG50="","",CEILING($AG50,IF(N($D50)&gt;0,$D50,1))*IF($AG50=$G50,$H50,IF($AG50=$I50,$J50,$L50)))</f>
      </c>
      <c r="AI50" s="3">
        <f>IF($AH50="","",IF($AH50&lt;$V50,"Ordering "&amp;TEXT(CEILING($AG50,IF(N($D50)&gt;0,$D50,1)),"0")&amp;" costs "&amp;TEXT($V50-$AH50,"0.00")&amp;" less in goods",""))</f>
      </c>
      <c r="AJ50" s="3">
        <f>IF($AE50="","",$A50&amp;"#"&amp;$AE50)</f>
      </c>
      <c r="AK50" s="17">
        <f>IF(OR($A50="",$B50=""),0,IF(IFERROR(INDEX(Award!$D$5:$D$34,MATCH($A50,Award!$A$5:$A$34,0))&amp;"","")=$B50,1,0))</f>
      </c>
      <c r="AL50" s="15">
        <f>IF(OR($AK50&lt;&gt;1,$V50=""),"",IFERROR(INDEX(Suppliers!$N$5:$N$12,MATCH($B50,Suppliers!$A$5:$A$12,0))*$V50/INDEX(Suppliers!$L$5:$L$12,MATCH($B50,Suppliers!$A$5:$A$12,0)),0))</f>
      </c>
      <c r="AM50" s="15">
        <f>IF($AL50="","",N($M50)*($V50+IF(Setup!$B$4="Yes",$AL50,0)))</f>
      </c>
      <c r="AN50" s="15">
        <f>IF(OR($AL50="",$W50=""),"",($V50+$AL50+$AM50)*$W50)</f>
      </c>
    </row>
    <row r="51">
      <c r="A51" s="13"/>
      <c r="B51" s="6"/>
      <c r="C51" s="13"/>
      <c r="D51" s="13"/>
      <c r="E51" s="13"/>
      <c r="F51" s="22"/>
      <c r="G51" s="13"/>
      <c r="H51" s="22"/>
      <c r="I51" s="13"/>
      <c r="J51" s="22"/>
      <c r="K51" s="13"/>
      <c r="L51" s="22"/>
      <c r="M51" s="14"/>
      <c r="N51" s="13"/>
      <c r="O51" s="7"/>
      <c r="P51" s="6"/>
      <c r="Q51" s="3">
        <f>IF($A51="","",IFERROR(INDEX(Lines!$B$5:$B$34,MATCH($A51,Lines!$A$5:$A$34,0)),"Unknown line"))</f>
      </c>
      <c r="R51" s="17">
        <f>IF($A51="","",IFERROR(INDEX(Lines!$D$5:$D$34,MATCH($A51,Lines!$A$5:$A$34,0)),""))</f>
      </c>
      <c r="S51" s="3">
        <f>IF($B51="","",IFERROR(INDEX(Suppliers!$B$5:$B$12,MATCH($B51,Suppliers!$A$5:$A$12,0))&amp;"",""))</f>
      </c>
      <c r="T51" s="17">
        <f>IF(OR(N($R51)&lt;=0,$F51=""),"",CEILING(MAX($R51,N($C51),N($E51)),IF(N($D51)&gt;0,$D51,1)))</f>
      </c>
      <c r="U51" s="16">
        <f>IF($T51="","",IF(AND($K51&lt;&gt;"",$L51&lt;&gt;"",$T51&gt;=N($K51)),$L51,IF(AND($I51&lt;&gt;"",$J51&lt;&gt;"",$T51&gt;=N($I51)),$J51,IF(AND($G51&lt;&gt;"",$H51&lt;&gt;"",$T51&gt;=N($G51)),$H51,$F51))))</f>
      </c>
      <c r="V51" s="15">
        <f>IF($T51="","",$T51*$U51)</f>
      </c>
      <c r="W51" s="16">
        <f>IF($S51="","",IF($S51=Setup!$B$3,1,IFERROR(IF(N(INDEX(Setup!$B$8:$B$17,MATCH($S51,Setup!$A$8:$A$17,0)))&gt;0,INDEX(Setup!$B$8:$B$17,MATCH($S51,Setup!$A$8:$A$17,0)),""),"")))</f>
      </c>
      <c r="X51" s="15">
        <f>IF($V51="","",IFERROR(INDEX(Suppliers!$K$5:$K$12,MATCH($B51,Suppliers!$A$5:$A$12,0))*$V51/INDEX(Suppliers!$I$5:$I$12,MATCH($B51,Suppliers!$A$5:$A$12,0)),0))</f>
      </c>
      <c r="Y51" s="15">
        <f>IF($V51="","",N($M51)*($V51+IF(Setup!$B$4="Yes",$X51,0)))</f>
      </c>
      <c r="Z51" s="15">
        <f>IF($V51="","",$V51+$X51+$Y51)</f>
      </c>
      <c r="AA51" s="15">
        <f>IF(OR($Z51="",$W51=""),"",$Z51*$W51)</f>
      </c>
      <c r="AB51" s="16">
        <f>IF($AA51="","",$AA51/$R51)</f>
      </c>
      <c r="AC51" s="17">
        <f>IF($T51="","",$T51-$R51)</f>
      </c>
      <c r="AD51" s="3">
        <f>IF($A51="","",IF($Q51="Unknown line","Line not on Lines",IF($S51="","Supplier not on Suppliers",IF($F51="","No price",IF($W51="","Exchange rate missing — left out","OK")))))</f>
      </c>
      <c r="AE51" s="17">
        <f>IF($AB51="","",COUNTIFS($A$5:$A$84,$A51,$AB$5:$AB$84,"&lt;"&amp;$AB51)+1)</f>
      </c>
      <c r="AF51" s="3">
        <f>IF($AE51=1,"Best","")</f>
      </c>
      <c r="AG51" s="17">
        <f>IF($T51="","",IF(AND($G51&lt;&gt;"",$H51&lt;&gt;"",$T51&lt;N($G51)),$G51,IF(AND($I51&lt;&gt;"",$J51&lt;&gt;"",$T51&lt;N($I51)),$I51,IF(AND($K51&lt;&gt;"",$L51&lt;&gt;"",$T51&lt;N($K51)),$K51,""))))</f>
      </c>
      <c r="AH51" s="15">
        <f>IF($AG51="","",CEILING($AG51,IF(N($D51)&gt;0,$D51,1))*IF($AG51=$G51,$H51,IF($AG51=$I51,$J51,$L51)))</f>
      </c>
      <c r="AI51" s="3">
        <f>IF($AH51="","",IF($AH51&lt;$V51,"Ordering "&amp;TEXT(CEILING($AG51,IF(N($D51)&gt;0,$D51,1)),"0")&amp;" costs "&amp;TEXT($V51-$AH51,"0.00")&amp;" less in goods",""))</f>
      </c>
      <c r="AJ51" s="3">
        <f>IF($AE51="","",$A51&amp;"#"&amp;$AE51)</f>
      </c>
      <c r="AK51" s="17">
        <f>IF(OR($A51="",$B51=""),0,IF(IFERROR(INDEX(Award!$D$5:$D$34,MATCH($A51,Award!$A$5:$A$34,0))&amp;"","")=$B51,1,0))</f>
      </c>
      <c r="AL51" s="15">
        <f>IF(OR($AK51&lt;&gt;1,$V51=""),"",IFERROR(INDEX(Suppliers!$N$5:$N$12,MATCH($B51,Suppliers!$A$5:$A$12,0))*$V51/INDEX(Suppliers!$L$5:$L$12,MATCH($B51,Suppliers!$A$5:$A$12,0)),0))</f>
      </c>
      <c r="AM51" s="15">
        <f>IF($AL51="","",N($M51)*($V51+IF(Setup!$B$4="Yes",$AL51,0)))</f>
      </c>
      <c r="AN51" s="15">
        <f>IF(OR($AL51="",$W51=""),"",($V51+$AL51+$AM51)*$W51)</f>
      </c>
    </row>
    <row r="52">
      <c r="A52" s="13"/>
      <c r="B52" s="6"/>
      <c r="C52" s="13"/>
      <c r="D52" s="13"/>
      <c r="E52" s="13"/>
      <c r="F52" s="22"/>
      <c r="G52" s="13"/>
      <c r="H52" s="22"/>
      <c r="I52" s="13"/>
      <c r="J52" s="22"/>
      <c r="K52" s="13"/>
      <c r="L52" s="22"/>
      <c r="M52" s="14"/>
      <c r="N52" s="13"/>
      <c r="O52" s="7"/>
      <c r="P52" s="6"/>
      <c r="Q52" s="3">
        <f>IF($A52="","",IFERROR(INDEX(Lines!$B$5:$B$34,MATCH($A52,Lines!$A$5:$A$34,0)),"Unknown line"))</f>
      </c>
      <c r="R52" s="17">
        <f>IF($A52="","",IFERROR(INDEX(Lines!$D$5:$D$34,MATCH($A52,Lines!$A$5:$A$34,0)),""))</f>
      </c>
      <c r="S52" s="3">
        <f>IF($B52="","",IFERROR(INDEX(Suppliers!$B$5:$B$12,MATCH($B52,Suppliers!$A$5:$A$12,0))&amp;"",""))</f>
      </c>
      <c r="T52" s="17">
        <f>IF(OR(N($R52)&lt;=0,$F52=""),"",CEILING(MAX($R52,N($C52),N($E52)),IF(N($D52)&gt;0,$D52,1)))</f>
      </c>
      <c r="U52" s="16">
        <f>IF($T52="","",IF(AND($K52&lt;&gt;"",$L52&lt;&gt;"",$T52&gt;=N($K52)),$L52,IF(AND($I52&lt;&gt;"",$J52&lt;&gt;"",$T52&gt;=N($I52)),$J52,IF(AND($G52&lt;&gt;"",$H52&lt;&gt;"",$T52&gt;=N($G52)),$H52,$F52))))</f>
      </c>
      <c r="V52" s="15">
        <f>IF($T52="","",$T52*$U52)</f>
      </c>
      <c r="W52" s="16">
        <f>IF($S52="","",IF($S52=Setup!$B$3,1,IFERROR(IF(N(INDEX(Setup!$B$8:$B$17,MATCH($S52,Setup!$A$8:$A$17,0)))&gt;0,INDEX(Setup!$B$8:$B$17,MATCH($S52,Setup!$A$8:$A$17,0)),""),"")))</f>
      </c>
      <c r="X52" s="15">
        <f>IF($V52="","",IFERROR(INDEX(Suppliers!$K$5:$K$12,MATCH($B52,Suppliers!$A$5:$A$12,0))*$V52/INDEX(Suppliers!$I$5:$I$12,MATCH($B52,Suppliers!$A$5:$A$12,0)),0))</f>
      </c>
      <c r="Y52" s="15">
        <f>IF($V52="","",N($M52)*($V52+IF(Setup!$B$4="Yes",$X52,0)))</f>
      </c>
      <c r="Z52" s="15">
        <f>IF($V52="","",$V52+$X52+$Y52)</f>
      </c>
      <c r="AA52" s="15">
        <f>IF(OR($Z52="",$W52=""),"",$Z52*$W52)</f>
      </c>
      <c r="AB52" s="16">
        <f>IF($AA52="","",$AA52/$R52)</f>
      </c>
      <c r="AC52" s="17">
        <f>IF($T52="","",$T52-$R52)</f>
      </c>
      <c r="AD52" s="3">
        <f>IF($A52="","",IF($Q52="Unknown line","Line not on Lines",IF($S52="","Supplier not on Suppliers",IF($F52="","No price",IF($W52="","Exchange rate missing — left out","OK")))))</f>
      </c>
      <c r="AE52" s="17">
        <f>IF($AB52="","",COUNTIFS($A$5:$A$84,$A52,$AB$5:$AB$84,"&lt;"&amp;$AB52)+1)</f>
      </c>
      <c r="AF52" s="3">
        <f>IF($AE52=1,"Best","")</f>
      </c>
      <c r="AG52" s="17">
        <f>IF($T52="","",IF(AND($G52&lt;&gt;"",$H52&lt;&gt;"",$T52&lt;N($G52)),$G52,IF(AND($I52&lt;&gt;"",$J52&lt;&gt;"",$T52&lt;N($I52)),$I52,IF(AND($K52&lt;&gt;"",$L52&lt;&gt;"",$T52&lt;N($K52)),$K52,""))))</f>
      </c>
      <c r="AH52" s="15">
        <f>IF($AG52="","",CEILING($AG52,IF(N($D52)&gt;0,$D52,1))*IF($AG52=$G52,$H52,IF($AG52=$I52,$J52,$L52)))</f>
      </c>
      <c r="AI52" s="3">
        <f>IF($AH52="","",IF($AH52&lt;$V52,"Ordering "&amp;TEXT(CEILING($AG52,IF(N($D52)&gt;0,$D52,1)),"0")&amp;" costs "&amp;TEXT($V52-$AH52,"0.00")&amp;" less in goods",""))</f>
      </c>
      <c r="AJ52" s="3">
        <f>IF($AE52="","",$A52&amp;"#"&amp;$AE52)</f>
      </c>
      <c r="AK52" s="17">
        <f>IF(OR($A52="",$B52=""),0,IF(IFERROR(INDEX(Award!$D$5:$D$34,MATCH($A52,Award!$A$5:$A$34,0))&amp;"","")=$B52,1,0))</f>
      </c>
      <c r="AL52" s="15">
        <f>IF(OR($AK52&lt;&gt;1,$V52=""),"",IFERROR(INDEX(Suppliers!$N$5:$N$12,MATCH($B52,Suppliers!$A$5:$A$12,0))*$V52/INDEX(Suppliers!$L$5:$L$12,MATCH($B52,Suppliers!$A$5:$A$12,0)),0))</f>
      </c>
      <c r="AM52" s="15">
        <f>IF($AL52="","",N($M52)*($V52+IF(Setup!$B$4="Yes",$AL52,0)))</f>
      </c>
      <c r="AN52" s="15">
        <f>IF(OR($AL52="",$W52=""),"",($V52+$AL52+$AM52)*$W52)</f>
      </c>
    </row>
    <row r="53">
      <c r="A53" s="13"/>
      <c r="B53" s="6"/>
      <c r="C53" s="13"/>
      <c r="D53" s="13"/>
      <c r="E53" s="13"/>
      <c r="F53" s="22"/>
      <c r="G53" s="13"/>
      <c r="H53" s="22"/>
      <c r="I53" s="13"/>
      <c r="J53" s="22"/>
      <c r="K53" s="13"/>
      <c r="L53" s="22"/>
      <c r="M53" s="14"/>
      <c r="N53" s="13"/>
      <c r="O53" s="7"/>
      <c r="P53" s="6"/>
      <c r="Q53" s="3">
        <f>IF($A53="","",IFERROR(INDEX(Lines!$B$5:$B$34,MATCH($A53,Lines!$A$5:$A$34,0)),"Unknown line"))</f>
      </c>
      <c r="R53" s="17">
        <f>IF($A53="","",IFERROR(INDEX(Lines!$D$5:$D$34,MATCH($A53,Lines!$A$5:$A$34,0)),""))</f>
      </c>
      <c r="S53" s="3">
        <f>IF($B53="","",IFERROR(INDEX(Suppliers!$B$5:$B$12,MATCH($B53,Suppliers!$A$5:$A$12,0))&amp;"",""))</f>
      </c>
      <c r="T53" s="17">
        <f>IF(OR(N($R53)&lt;=0,$F53=""),"",CEILING(MAX($R53,N($C53),N($E53)),IF(N($D53)&gt;0,$D53,1)))</f>
      </c>
      <c r="U53" s="16">
        <f>IF($T53="","",IF(AND($K53&lt;&gt;"",$L53&lt;&gt;"",$T53&gt;=N($K53)),$L53,IF(AND($I53&lt;&gt;"",$J53&lt;&gt;"",$T53&gt;=N($I53)),$J53,IF(AND($G53&lt;&gt;"",$H53&lt;&gt;"",$T53&gt;=N($G53)),$H53,$F53))))</f>
      </c>
      <c r="V53" s="15">
        <f>IF($T53="","",$T53*$U53)</f>
      </c>
      <c r="W53" s="16">
        <f>IF($S53="","",IF($S53=Setup!$B$3,1,IFERROR(IF(N(INDEX(Setup!$B$8:$B$17,MATCH($S53,Setup!$A$8:$A$17,0)))&gt;0,INDEX(Setup!$B$8:$B$17,MATCH($S53,Setup!$A$8:$A$17,0)),""),"")))</f>
      </c>
      <c r="X53" s="15">
        <f>IF($V53="","",IFERROR(INDEX(Suppliers!$K$5:$K$12,MATCH($B53,Suppliers!$A$5:$A$12,0))*$V53/INDEX(Suppliers!$I$5:$I$12,MATCH($B53,Suppliers!$A$5:$A$12,0)),0))</f>
      </c>
      <c r="Y53" s="15">
        <f>IF($V53="","",N($M53)*($V53+IF(Setup!$B$4="Yes",$X53,0)))</f>
      </c>
      <c r="Z53" s="15">
        <f>IF($V53="","",$V53+$X53+$Y53)</f>
      </c>
      <c r="AA53" s="15">
        <f>IF(OR($Z53="",$W53=""),"",$Z53*$W53)</f>
      </c>
      <c r="AB53" s="16">
        <f>IF($AA53="","",$AA53/$R53)</f>
      </c>
      <c r="AC53" s="17">
        <f>IF($T53="","",$T53-$R53)</f>
      </c>
      <c r="AD53" s="3">
        <f>IF($A53="","",IF($Q53="Unknown line","Line not on Lines",IF($S53="","Supplier not on Suppliers",IF($F53="","No price",IF($W53="","Exchange rate missing — left out","OK")))))</f>
      </c>
      <c r="AE53" s="17">
        <f>IF($AB53="","",COUNTIFS($A$5:$A$84,$A53,$AB$5:$AB$84,"&lt;"&amp;$AB53)+1)</f>
      </c>
      <c r="AF53" s="3">
        <f>IF($AE53=1,"Best","")</f>
      </c>
      <c r="AG53" s="17">
        <f>IF($T53="","",IF(AND($G53&lt;&gt;"",$H53&lt;&gt;"",$T53&lt;N($G53)),$G53,IF(AND($I53&lt;&gt;"",$J53&lt;&gt;"",$T53&lt;N($I53)),$I53,IF(AND($K53&lt;&gt;"",$L53&lt;&gt;"",$T53&lt;N($K53)),$K53,""))))</f>
      </c>
      <c r="AH53" s="15">
        <f>IF($AG53="","",CEILING($AG53,IF(N($D53)&gt;0,$D53,1))*IF($AG53=$G53,$H53,IF($AG53=$I53,$J53,$L53)))</f>
      </c>
      <c r="AI53" s="3">
        <f>IF($AH53="","",IF($AH53&lt;$V53,"Ordering "&amp;TEXT(CEILING($AG53,IF(N($D53)&gt;0,$D53,1)),"0")&amp;" costs "&amp;TEXT($V53-$AH53,"0.00")&amp;" less in goods",""))</f>
      </c>
      <c r="AJ53" s="3">
        <f>IF($AE53="","",$A53&amp;"#"&amp;$AE53)</f>
      </c>
      <c r="AK53" s="17">
        <f>IF(OR($A53="",$B53=""),0,IF(IFERROR(INDEX(Award!$D$5:$D$34,MATCH($A53,Award!$A$5:$A$34,0))&amp;"","")=$B53,1,0))</f>
      </c>
      <c r="AL53" s="15">
        <f>IF(OR($AK53&lt;&gt;1,$V53=""),"",IFERROR(INDEX(Suppliers!$N$5:$N$12,MATCH($B53,Suppliers!$A$5:$A$12,0))*$V53/INDEX(Suppliers!$L$5:$L$12,MATCH($B53,Suppliers!$A$5:$A$12,0)),0))</f>
      </c>
      <c r="AM53" s="15">
        <f>IF($AL53="","",N($M53)*($V53+IF(Setup!$B$4="Yes",$AL53,0)))</f>
      </c>
      <c r="AN53" s="15">
        <f>IF(OR($AL53="",$W53=""),"",($V53+$AL53+$AM53)*$W53)</f>
      </c>
    </row>
    <row r="54">
      <c r="A54" s="13"/>
      <c r="B54" s="6"/>
      <c r="C54" s="13"/>
      <c r="D54" s="13"/>
      <c r="E54" s="13"/>
      <c r="F54" s="22"/>
      <c r="G54" s="13"/>
      <c r="H54" s="22"/>
      <c r="I54" s="13"/>
      <c r="J54" s="22"/>
      <c r="K54" s="13"/>
      <c r="L54" s="22"/>
      <c r="M54" s="14"/>
      <c r="N54" s="13"/>
      <c r="O54" s="7"/>
      <c r="P54" s="6"/>
      <c r="Q54" s="3">
        <f>IF($A54="","",IFERROR(INDEX(Lines!$B$5:$B$34,MATCH($A54,Lines!$A$5:$A$34,0)),"Unknown line"))</f>
      </c>
      <c r="R54" s="17">
        <f>IF($A54="","",IFERROR(INDEX(Lines!$D$5:$D$34,MATCH($A54,Lines!$A$5:$A$34,0)),""))</f>
      </c>
      <c r="S54" s="3">
        <f>IF($B54="","",IFERROR(INDEX(Suppliers!$B$5:$B$12,MATCH($B54,Suppliers!$A$5:$A$12,0))&amp;"",""))</f>
      </c>
      <c r="T54" s="17">
        <f>IF(OR(N($R54)&lt;=0,$F54=""),"",CEILING(MAX($R54,N($C54),N($E54)),IF(N($D54)&gt;0,$D54,1)))</f>
      </c>
      <c r="U54" s="16">
        <f>IF($T54="","",IF(AND($K54&lt;&gt;"",$L54&lt;&gt;"",$T54&gt;=N($K54)),$L54,IF(AND($I54&lt;&gt;"",$J54&lt;&gt;"",$T54&gt;=N($I54)),$J54,IF(AND($G54&lt;&gt;"",$H54&lt;&gt;"",$T54&gt;=N($G54)),$H54,$F54))))</f>
      </c>
      <c r="V54" s="15">
        <f>IF($T54="","",$T54*$U54)</f>
      </c>
      <c r="W54" s="16">
        <f>IF($S54="","",IF($S54=Setup!$B$3,1,IFERROR(IF(N(INDEX(Setup!$B$8:$B$17,MATCH($S54,Setup!$A$8:$A$17,0)))&gt;0,INDEX(Setup!$B$8:$B$17,MATCH($S54,Setup!$A$8:$A$17,0)),""),"")))</f>
      </c>
      <c r="X54" s="15">
        <f>IF($V54="","",IFERROR(INDEX(Suppliers!$K$5:$K$12,MATCH($B54,Suppliers!$A$5:$A$12,0))*$V54/INDEX(Suppliers!$I$5:$I$12,MATCH($B54,Suppliers!$A$5:$A$12,0)),0))</f>
      </c>
      <c r="Y54" s="15">
        <f>IF($V54="","",N($M54)*($V54+IF(Setup!$B$4="Yes",$X54,0)))</f>
      </c>
      <c r="Z54" s="15">
        <f>IF($V54="","",$V54+$X54+$Y54)</f>
      </c>
      <c r="AA54" s="15">
        <f>IF(OR($Z54="",$W54=""),"",$Z54*$W54)</f>
      </c>
      <c r="AB54" s="16">
        <f>IF($AA54="","",$AA54/$R54)</f>
      </c>
      <c r="AC54" s="17">
        <f>IF($T54="","",$T54-$R54)</f>
      </c>
      <c r="AD54" s="3">
        <f>IF($A54="","",IF($Q54="Unknown line","Line not on Lines",IF($S54="","Supplier not on Suppliers",IF($F54="","No price",IF($W54="","Exchange rate missing — left out","OK")))))</f>
      </c>
      <c r="AE54" s="17">
        <f>IF($AB54="","",COUNTIFS($A$5:$A$84,$A54,$AB$5:$AB$84,"&lt;"&amp;$AB54)+1)</f>
      </c>
      <c r="AF54" s="3">
        <f>IF($AE54=1,"Best","")</f>
      </c>
      <c r="AG54" s="17">
        <f>IF($T54="","",IF(AND($G54&lt;&gt;"",$H54&lt;&gt;"",$T54&lt;N($G54)),$G54,IF(AND($I54&lt;&gt;"",$J54&lt;&gt;"",$T54&lt;N($I54)),$I54,IF(AND($K54&lt;&gt;"",$L54&lt;&gt;"",$T54&lt;N($K54)),$K54,""))))</f>
      </c>
      <c r="AH54" s="15">
        <f>IF($AG54="","",CEILING($AG54,IF(N($D54)&gt;0,$D54,1))*IF($AG54=$G54,$H54,IF($AG54=$I54,$J54,$L54)))</f>
      </c>
      <c r="AI54" s="3">
        <f>IF($AH54="","",IF($AH54&lt;$V54,"Ordering "&amp;TEXT(CEILING($AG54,IF(N($D54)&gt;0,$D54,1)),"0")&amp;" costs "&amp;TEXT($V54-$AH54,"0.00")&amp;" less in goods",""))</f>
      </c>
      <c r="AJ54" s="3">
        <f>IF($AE54="","",$A54&amp;"#"&amp;$AE54)</f>
      </c>
      <c r="AK54" s="17">
        <f>IF(OR($A54="",$B54=""),0,IF(IFERROR(INDEX(Award!$D$5:$D$34,MATCH($A54,Award!$A$5:$A$34,0))&amp;"","")=$B54,1,0))</f>
      </c>
      <c r="AL54" s="15">
        <f>IF(OR($AK54&lt;&gt;1,$V54=""),"",IFERROR(INDEX(Suppliers!$N$5:$N$12,MATCH($B54,Suppliers!$A$5:$A$12,0))*$V54/INDEX(Suppliers!$L$5:$L$12,MATCH($B54,Suppliers!$A$5:$A$12,0)),0))</f>
      </c>
      <c r="AM54" s="15">
        <f>IF($AL54="","",N($M54)*($V54+IF(Setup!$B$4="Yes",$AL54,0)))</f>
      </c>
      <c r="AN54" s="15">
        <f>IF(OR($AL54="",$W54=""),"",($V54+$AL54+$AM54)*$W54)</f>
      </c>
    </row>
    <row r="55">
      <c r="A55" s="13"/>
      <c r="B55" s="6"/>
      <c r="C55" s="13"/>
      <c r="D55" s="13"/>
      <c r="E55" s="13"/>
      <c r="F55" s="22"/>
      <c r="G55" s="13"/>
      <c r="H55" s="22"/>
      <c r="I55" s="13"/>
      <c r="J55" s="22"/>
      <c r="K55" s="13"/>
      <c r="L55" s="22"/>
      <c r="M55" s="14"/>
      <c r="N55" s="13"/>
      <c r="O55" s="7"/>
      <c r="P55" s="6"/>
      <c r="Q55" s="3">
        <f>IF($A55="","",IFERROR(INDEX(Lines!$B$5:$B$34,MATCH($A55,Lines!$A$5:$A$34,0)),"Unknown line"))</f>
      </c>
      <c r="R55" s="17">
        <f>IF($A55="","",IFERROR(INDEX(Lines!$D$5:$D$34,MATCH($A55,Lines!$A$5:$A$34,0)),""))</f>
      </c>
      <c r="S55" s="3">
        <f>IF($B55="","",IFERROR(INDEX(Suppliers!$B$5:$B$12,MATCH($B55,Suppliers!$A$5:$A$12,0))&amp;"",""))</f>
      </c>
      <c r="T55" s="17">
        <f>IF(OR(N($R55)&lt;=0,$F55=""),"",CEILING(MAX($R55,N($C55),N($E55)),IF(N($D55)&gt;0,$D55,1)))</f>
      </c>
      <c r="U55" s="16">
        <f>IF($T55="","",IF(AND($K55&lt;&gt;"",$L55&lt;&gt;"",$T55&gt;=N($K55)),$L55,IF(AND($I55&lt;&gt;"",$J55&lt;&gt;"",$T55&gt;=N($I55)),$J55,IF(AND($G55&lt;&gt;"",$H55&lt;&gt;"",$T55&gt;=N($G55)),$H55,$F55))))</f>
      </c>
      <c r="V55" s="15">
        <f>IF($T55="","",$T55*$U55)</f>
      </c>
      <c r="W55" s="16">
        <f>IF($S55="","",IF($S55=Setup!$B$3,1,IFERROR(IF(N(INDEX(Setup!$B$8:$B$17,MATCH($S55,Setup!$A$8:$A$17,0)))&gt;0,INDEX(Setup!$B$8:$B$17,MATCH($S55,Setup!$A$8:$A$17,0)),""),"")))</f>
      </c>
      <c r="X55" s="15">
        <f>IF($V55="","",IFERROR(INDEX(Suppliers!$K$5:$K$12,MATCH($B55,Suppliers!$A$5:$A$12,0))*$V55/INDEX(Suppliers!$I$5:$I$12,MATCH($B55,Suppliers!$A$5:$A$12,0)),0))</f>
      </c>
      <c r="Y55" s="15">
        <f>IF($V55="","",N($M55)*($V55+IF(Setup!$B$4="Yes",$X55,0)))</f>
      </c>
      <c r="Z55" s="15">
        <f>IF($V55="","",$V55+$X55+$Y55)</f>
      </c>
      <c r="AA55" s="15">
        <f>IF(OR($Z55="",$W55=""),"",$Z55*$W55)</f>
      </c>
      <c r="AB55" s="16">
        <f>IF($AA55="","",$AA55/$R55)</f>
      </c>
      <c r="AC55" s="17">
        <f>IF($T55="","",$T55-$R55)</f>
      </c>
      <c r="AD55" s="3">
        <f>IF($A55="","",IF($Q55="Unknown line","Line not on Lines",IF($S55="","Supplier not on Suppliers",IF($F55="","No price",IF($W55="","Exchange rate missing — left out","OK")))))</f>
      </c>
      <c r="AE55" s="17">
        <f>IF($AB55="","",COUNTIFS($A$5:$A$84,$A55,$AB$5:$AB$84,"&lt;"&amp;$AB55)+1)</f>
      </c>
      <c r="AF55" s="3">
        <f>IF($AE55=1,"Best","")</f>
      </c>
      <c r="AG55" s="17">
        <f>IF($T55="","",IF(AND($G55&lt;&gt;"",$H55&lt;&gt;"",$T55&lt;N($G55)),$G55,IF(AND($I55&lt;&gt;"",$J55&lt;&gt;"",$T55&lt;N($I55)),$I55,IF(AND($K55&lt;&gt;"",$L55&lt;&gt;"",$T55&lt;N($K55)),$K55,""))))</f>
      </c>
      <c r="AH55" s="15">
        <f>IF($AG55="","",CEILING($AG55,IF(N($D55)&gt;0,$D55,1))*IF($AG55=$G55,$H55,IF($AG55=$I55,$J55,$L55)))</f>
      </c>
      <c r="AI55" s="3">
        <f>IF($AH55="","",IF($AH55&lt;$V55,"Ordering "&amp;TEXT(CEILING($AG55,IF(N($D55)&gt;0,$D55,1)),"0")&amp;" costs "&amp;TEXT($V55-$AH55,"0.00")&amp;" less in goods",""))</f>
      </c>
      <c r="AJ55" s="3">
        <f>IF($AE55="","",$A55&amp;"#"&amp;$AE55)</f>
      </c>
      <c r="AK55" s="17">
        <f>IF(OR($A55="",$B55=""),0,IF(IFERROR(INDEX(Award!$D$5:$D$34,MATCH($A55,Award!$A$5:$A$34,0))&amp;"","")=$B55,1,0))</f>
      </c>
      <c r="AL55" s="15">
        <f>IF(OR($AK55&lt;&gt;1,$V55=""),"",IFERROR(INDEX(Suppliers!$N$5:$N$12,MATCH($B55,Suppliers!$A$5:$A$12,0))*$V55/INDEX(Suppliers!$L$5:$L$12,MATCH($B55,Suppliers!$A$5:$A$12,0)),0))</f>
      </c>
      <c r="AM55" s="15">
        <f>IF($AL55="","",N($M55)*($V55+IF(Setup!$B$4="Yes",$AL55,0)))</f>
      </c>
      <c r="AN55" s="15">
        <f>IF(OR($AL55="",$W55=""),"",($V55+$AL55+$AM55)*$W55)</f>
      </c>
    </row>
    <row r="56">
      <c r="A56" s="13"/>
      <c r="B56" s="6"/>
      <c r="C56" s="13"/>
      <c r="D56" s="13"/>
      <c r="E56" s="13"/>
      <c r="F56" s="22"/>
      <c r="G56" s="13"/>
      <c r="H56" s="22"/>
      <c r="I56" s="13"/>
      <c r="J56" s="22"/>
      <c r="K56" s="13"/>
      <c r="L56" s="22"/>
      <c r="M56" s="14"/>
      <c r="N56" s="13"/>
      <c r="O56" s="7"/>
      <c r="P56" s="6"/>
      <c r="Q56" s="3">
        <f>IF($A56="","",IFERROR(INDEX(Lines!$B$5:$B$34,MATCH($A56,Lines!$A$5:$A$34,0)),"Unknown line"))</f>
      </c>
      <c r="R56" s="17">
        <f>IF($A56="","",IFERROR(INDEX(Lines!$D$5:$D$34,MATCH($A56,Lines!$A$5:$A$34,0)),""))</f>
      </c>
      <c r="S56" s="3">
        <f>IF($B56="","",IFERROR(INDEX(Suppliers!$B$5:$B$12,MATCH($B56,Suppliers!$A$5:$A$12,0))&amp;"",""))</f>
      </c>
      <c r="T56" s="17">
        <f>IF(OR(N($R56)&lt;=0,$F56=""),"",CEILING(MAX($R56,N($C56),N($E56)),IF(N($D56)&gt;0,$D56,1)))</f>
      </c>
      <c r="U56" s="16">
        <f>IF($T56="","",IF(AND($K56&lt;&gt;"",$L56&lt;&gt;"",$T56&gt;=N($K56)),$L56,IF(AND($I56&lt;&gt;"",$J56&lt;&gt;"",$T56&gt;=N($I56)),$J56,IF(AND($G56&lt;&gt;"",$H56&lt;&gt;"",$T56&gt;=N($G56)),$H56,$F56))))</f>
      </c>
      <c r="V56" s="15">
        <f>IF($T56="","",$T56*$U56)</f>
      </c>
      <c r="W56" s="16">
        <f>IF($S56="","",IF($S56=Setup!$B$3,1,IFERROR(IF(N(INDEX(Setup!$B$8:$B$17,MATCH($S56,Setup!$A$8:$A$17,0)))&gt;0,INDEX(Setup!$B$8:$B$17,MATCH($S56,Setup!$A$8:$A$17,0)),""),"")))</f>
      </c>
      <c r="X56" s="15">
        <f>IF($V56="","",IFERROR(INDEX(Suppliers!$K$5:$K$12,MATCH($B56,Suppliers!$A$5:$A$12,0))*$V56/INDEX(Suppliers!$I$5:$I$12,MATCH($B56,Suppliers!$A$5:$A$12,0)),0))</f>
      </c>
      <c r="Y56" s="15">
        <f>IF($V56="","",N($M56)*($V56+IF(Setup!$B$4="Yes",$X56,0)))</f>
      </c>
      <c r="Z56" s="15">
        <f>IF($V56="","",$V56+$X56+$Y56)</f>
      </c>
      <c r="AA56" s="15">
        <f>IF(OR($Z56="",$W56=""),"",$Z56*$W56)</f>
      </c>
      <c r="AB56" s="16">
        <f>IF($AA56="","",$AA56/$R56)</f>
      </c>
      <c r="AC56" s="17">
        <f>IF($T56="","",$T56-$R56)</f>
      </c>
      <c r="AD56" s="3">
        <f>IF($A56="","",IF($Q56="Unknown line","Line not on Lines",IF($S56="","Supplier not on Suppliers",IF($F56="","No price",IF($W56="","Exchange rate missing — left out","OK")))))</f>
      </c>
      <c r="AE56" s="17">
        <f>IF($AB56="","",COUNTIFS($A$5:$A$84,$A56,$AB$5:$AB$84,"&lt;"&amp;$AB56)+1)</f>
      </c>
      <c r="AF56" s="3">
        <f>IF($AE56=1,"Best","")</f>
      </c>
      <c r="AG56" s="17">
        <f>IF($T56="","",IF(AND($G56&lt;&gt;"",$H56&lt;&gt;"",$T56&lt;N($G56)),$G56,IF(AND($I56&lt;&gt;"",$J56&lt;&gt;"",$T56&lt;N($I56)),$I56,IF(AND($K56&lt;&gt;"",$L56&lt;&gt;"",$T56&lt;N($K56)),$K56,""))))</f>
      </c>
      <c r="AH56" s="15">
        <f>IF($AG56="","",CEILING($AG56,IF(N($D56)&gt;0,$D56,1))*IF($AG56=$G56,$H56,IF($AG56=$I56,$J56,$L56)))</f>
      </c>
      <c r="AI56" s="3">
        <f>IF($AH56="","",IF($AH56&lt;$V56,"Ordering "&amp;TEXT(CEILING($AG56,IF(N($D56)&gt;0,$D56,1)),"0")&amp;" costs "&amp;TEXT($V56-$AH56,"0.00")&amp;" less in goods",""))</f>
      </c>
      <c r="AJ56" s="3">
        <f>IF($AE56="","",$A56&amp;"#"&amp;$AE56)</f>
      </c>
      <c r="AK56" s="17">
        <f>IF(OR($A56="",$B56=""),0,IF(IFERROR(INDEX(Award!$D$5:$D$34,MATCH($A56,Award!$A$5:$A$34,0))&amp;"","")=$B56,1,0))</f>
      </c>
      <c r="AL56" s="15">
        <f>IF(OR($AK56&lt;&gt;1,$V56=""),"",IFERROR(INDEX(Suppliers!$N$5:$N$12,MATCH($B56,Suppliers!$A$5:$A$12,0))*$V56/INDEX(Suppliers!$L$5:$L$12,MATCH($B56,Suppliers!$A$5:$A$12,0)),0))</f>
      </c>
      <c r="AM56" s="15">
        <f>IF($AL56="","",N($M56)*($V56+IF(Setup!$B$4="Yes",$AL56,0)))</f>
      </c>
      <c r="AN56" s="15">
        <f>IF(OR($AL56="",$W56=""),"",($V56+$AL56+$AM56)*$W56)</f>
      </c>
    </row>
    <row r="57">
      <c r="A57" s="13"/>
      <c r="B57" s="6"/>
      <c r="C57" s="13"/>
      <c r="D57" s="13"/>
      <c r="E57" s="13"/>
      <c r="F57" s="22"/>
      <c r="G57" s="13"/>
      <c r="H57" s="22"/>
      <c r="I57" s="13"/>
      <c r="J57" s="22"/>
      <c r="K57" s="13"/>
      <c r="L57" s="22"/>
      <c r="M57" s="14"/>
      <c r="N57" s="13"/>
      <c r="O57" s="7"/>
      <c r="P57" s="6"/>
      <c r="Q57" s="3">
        <f>IF($A57="","",IFERROR(INDEX(Lines!$B$5:$B$34,MATCH($A57,Lines!$A$5:$A$34,0)),"Unknown line"))</f>
      </c>
      <c r="R57" s="17">
        <f>IF($A57="","",IFERROR(INDEX(Lines!$D$5:$D$34,MATCH($A57,Lines!$A$5:$A$34,0)),""))</f>
      </c>
      <c r="S57" s="3">
        <f>IF($B57="","",IFERROR(INDEX(Suppliers!$B$5:$B$12,MATCH($B57,Suppliers!$A$5:$A$12,0))&amp;"",""))</f>
      </c>
      <c r="T57" s="17">
        <f>IF(OR(N($R57)&lt;=0,$F57=""),"",CEILING(MAX($R57,N($C57),N($E57)),IF(N($D57)&gt;0,$D57,1)))</f>
      </c>
      <c r="U57" s="16">
        <f>IF($T57="","",IF(AND($K57&lt;&gt;"",$L57&lt;&gt;"",$T57&gt;=N($K57)),$L57,IF(AND($I57&lt;&gt;"",$J57&lt;&gt;"",$T57&gt;=N($I57)),$J57,IF(AND($G57&lt;&gt;"",$H57&lt;&gt;"",$T57&gt;=N($G57)),$H57,$F57))))</f>
      </c>
      <c r="V57" s="15">
        <f>IF($T57="","",$T57*$U57)</f>
      </c>
      <c r="W57" s="16">
        <f>IF($S57="","",IF($S57=Setup!$B$3,1,IFERROR(IF(N(INDEX(Setup!$B$8:$B$17,MATCH($S57,Setup!$A$8:$A$17,0)))&gt;0,INDEX(Setup!$B$8:$B$17,MATCH($S57,Setup!$A$8:$A$17,0)),""),"")))</f>
      </c>
      <c r="X57" s="15">
        <f>IF($V57="","",IFERROR(INDEX(Suppliers!$K$5:$K$12,MATCH($B57,Suppliers!$A$5:$A$12,0))*$V57/INDEX(Suppliers!$I$5:$I$12,MATCH($B57,Suppliers!$A$5:$A$12,0)),0))</f>
      </c>
      <c r="Y57" s="15">
        <f>IF($V57="","",N($M57)*($V57+IF(Setup!$B$4="Yes",$X57,0)))</f>
      </c>
      <c r="Z57" s="15">
        <f>IF($V57="","",$V57+$X57+$Y57)</f>
      </c>
      <c r="AA57" s="15">
        <f>IF(OR($Z57="",$W57=""),"",$Z57*$W57)</f>
      </c>
      <c r="AB57" s="16">
        <f>IF($AA57="","",$AA57/$R57)</f>
      </c>
      <c r="AC57" s="17">
        <f>IF($T57="","",$T57-$R57)</f>
      </c>
      <c r="AD57" s="3">
        <f>IF($A57="","",IF($Q57="Unknown line","Line not on Lines",IF($S57="","Supplier not on Suppliers",IF($F57="","No price",IF($W57="","Exchange rate missing — left out","OK")))))</f>
      </c>
      <c r="AE57" s="17">
        <f>IF($AB57="","",COUNTIFS($A$5:$A$84,$A57,$AB$5:$AB$84,"&lt;"&amp;$AB57)+1)</f>
      </c>
      <c r="AF57" s="3">
        <f>IF($AE57=1,"Best","")</f>
      </c>
      <c r="AG57" s="17">
        <f>IF($T57="","",IF(AND($G57&lt;&gt;"",$H57&lt;&gt;"",$T57&lt;N($G57)),$G57,IF(AND($I57&lt;&gt;"",$J57&lt;&gt;"",$T57&lt;N($I57)),$I57,IF(AND($K57&lt;&gt;"",$L57&lt;&gt;"",$T57&lt;N($K57)),$K57,""))))</f>
      </c>
      <c r="AH57" s="15">
        <f>IF($AG57="","",CEILING($AG57,IF(N($D57)&gt;0,$D57,1))*IF($AG57=$G57,$H57,IF($AG57=$I57,$J57,$L57)))</f>
      </c>
      <c r="AI57" s="3">
        <f>IF($AH57="","",IF($AH57&lt;$V57,"Ordering "&amp;TEXT(CEILING($AG57,IF(N($D57)&gt;0,$D57,1)),"0")&amp;" costs "&amp;TEXT($V57-$AH57,"0.00")&amp;" less in goods",""))</f>
      </c>
      <c r="AJ57" s="3">
        <f>IF($AE57="","",$A57&amp;"#"&amp;$AE57)</f>
      </c>
      <c r="AK57" s="17">
        <f>IF(OR($A57="",$B57=""),0,IF(IFERROR(INDEX(Award!$D$5:$D$34,MATCH($A57,Award!$A$5:$A$34,0))&amp;"","")=$B57,1,0))</f>
      </c>
      <c r="AL57" s="15">
        <f>IF(OR($AK57&lt;&gt;1,$V57=""),"",IFERROR(INDEX(Suppliers!$N$5:$N$12,MATCH($B57,Suppliers!$A$5:$A$12,0))*$V57/INDEX(Suppliers!$L$5:$L$12,MATCH($B57,Suppliers!$A$5:$A$12,0)),0))</f>
      </c>
      <c r="AM57" s="15">
        <f>IF($AL57="","",N($M57)*($V57+IF(Setup!$B$4="Yes",$AL57,0)))</f>
      </c>
      <c r="AN57" s="15">
        <f>IF(OR($AL57="",$W57=""),"",($V57+$AL57+$AM57)*$W57)</f>
      </c>
    </row>
    <row r="58">
      <c r="A58" s="13"/>
      <c r="B58" s="6"/>
      <c r="C58" s="13"/>
      <c r="D58" s="13"/>
      <c r="E58" s="13"/>
      <c r="F58" s="22"/>
      <c r="G58" s="13"/>
      <c r="H58" s="22"/>
      <c r="I58" s="13"/>
      <c r="J58" s="22"/>
      <c r="K58" s="13"/>
      <c r="L58" s="22"/>
      <c r="M58" s="14"/>
      <c r="N58" s="13"/>
      <c r="O58" s="7"/>
      <c r="P58" s="6"/>
      <c r="Q58" s="3">
        <f>IF($A58="","",IFERROR(INDEX(Lines!$B$5:$B$34,MATCH($A58,Lines!$A$5:$A$34,0)),"Unknown line"))</f>
      </c>
      <c r="R58" s="17">
        <f>IF($A58="","",IFERROR(INDEX(Lines!$D$5:$D$34,MATCH($A58,Lines!$A$5:$A$34,0)),""))</f>
      </c>
      <c r="S58" s="3">
        <f>IF($B58="","",IFERROR(INDEX(Suppliers!$B$5:$B$12,MATCH($B58,Suppliers!$A$5:$A$12,0))&amp;"",""))</f>
      </c>
      <c r="T58" s="17">
        <f>IF(OR(N($R58)&lt;=0,$F58=""),"",CEILING(MAX($R58,N($C58),N($E58)),IF(N($D58)&gt;0,$D58,1)))</f>
      </c>
      <c r="U58" s="16">
        <f>IF($T58="","",IF(AND($K58&lt;&gt;"",$L58&lt;&gt;"",$T58&gt;=N($K58)),$L58,IF(AND($I58&lt;&gt;"",$J58&lt;&gt;"",$T58&gt;=N($I58)),$J58,IF(AND($G58&lt;&gt;"",$H58&lt;&gt;"",$T58&gt;=N($G58)),$H58,$F58))))</f>
      </c>
      <c r="V58" s="15">
        <f>IF($T58="","",$T58*$U58)</f>
      </c>
      <c r="W58" s="16">
        <f>IF($S58="","",IF($S58=Setup!$B$3,1,IFERROR(IF(N(INDEX(Setup!$B$8:$B$17,MATCH($S58,Setup!$A$8:$A$17,0)))&gt;0,INDEX(Setup!$B$8:$B$17,MATCH($S58,Setup!$A$8:$A$17,0)),""),"")))</f>
      </c>
      <c r="X58" s="15">
        <f>IF($V58="","",IFERROR(INDEX(Suppliers!$K$5:$K$12,MATCH($B58,Suppliers!$A$5:$A$12,0))*$V58/INDEX(Suppliers!$I$5:$I$12,MATCH($B58,Suppliers!$A$5:$A$12,0)),0))</f>
      </c>
      <c r="Y58" s="15">
        <f>IF($V58="","",N($M58)*($V58+IF(Setup!$B$4="Yes",$X58,0)))</f>
      </c>
      <c r="Z58" s="15">
        <f>IF($V58="","",$V58+$X58+$Y58)</f>
      </c>
      <c r="AA58" s="15">
        <f>IF(OR($Z58="",$W58=""),"",$Z58*$W58)</f>
      </c>
      <c r="AB58" s="16">
        <f>IF($AA58="","",$AA58/$R58)</f>
      </c>
      <c r="AC58" s="17">
        <f>IF($T58="","",$T58-$R58)</f>
      </c>
      <c r="AD58" s="3">
        <f>IF($A58="","",IF($Q58="Unknown line","Line not on Lines",IF($S58="","Supplier not on Suppliers",IF($F58="","No price",IF($W58="","Exchange rate missing — left out","OK")))))</f>
      </c>
      <c r="AE58" s="17">
        <f>IF($AB58="","",COUNTIFS($A$5:$A$84,$A58,$AB$5:$AB$84,"&lt;"&amp;$AB58)+1)</f>
      </c>
      <c r="AF58" s="3">
        <f>IF($AE58=1,"Best","")</f>
      </c>
      <c r="AG58" s="17">
        <f>IF($T58="","",IF(AND($G58&lt;&gt;"",$H58&lt;&gt;"",$T58&lt;N($G58)),$G58,IF(AND($I58&lt;&gt;"",$J58&lt;&gt;"",$T58&lt;N($I58)),$I58,IF(AND($K58&lt;&gt;"",$L58&lt;&gt;"",$T58&lt;N($K58)),$K58,""))))</f>
      </c>
      <c r="AH58" s="15">
        <f>IF($AG58="","",CEILING($AG58,IF(N($D58)&gt;0,$D58,1))*IF($AG58=$G58,$H58,IF($AG58=$I58,$J58,$L58)))</f>
      </c>
      <c r="AI58" s="3">
        <f>IF($AH58="","",IF($AH58&lt;$V58,"Ordering "&amp;TEXT(CEILING($AG58,IF(N($D58)&gt;0,$D58,1)),"0")&amp;" costs "&amp;TEXT($V58-$AH58,"0.00")&amp;" less in goods",""))</f>
      </c>
      <c r="AJ58" s="3">
        <f>IF($AE58="","",$A58&amp;"#"&amp;$AE58)</f>
      </c>
      <c r="AK58" s="17">
        <f>IF(OR($A58="",$B58=""),0,IF(IFERROR(INDEX(Award!$D$5:$D$34,MATCH($A58,Award!$A$5:$A$34,0))&amp;"","")=$B58,1,0))</f>
      </c>
      <c r="AL58" s="15">
        <f>IF(OR($AK58&lt;&gt;1,$V58=""),"",IFERROR(INDEX(Suppliers!$N$5:$N$12,MATCH($B58,Suppliers!$A$5:$A$12,0))*$V58/INDEX(Suppliers!$L$5:$L$12,MATCH($B58,Suppliers!$A$5:$A$12,0)),0))</f>
      </c>
      <c r="AM58" s="15">
        <f>IF($AL58="","",N($M58)*($V58+IF(Setup!$B$4="Yes",$AL58,0)))</f>
      </c>
      <c r="AN58" s="15">
        <f>IF(OR($AL58="",$W58=""),"",($V58+$AL58+$AM58)*$W58)</f>
      </c>
    </row>
    <row r="59">
      <c r="A59" s="13"/>
      <c r="B59" s="6"/>
      <c r="C59" s="13"/>
      <c r="D59" s="13"/>
      <c r="E59" s="13"/>
      <c r="F59" s="22"/>
      <c r="G59" s="13"/>
      <c r="H59" s="22"/>
      <c r="I59" s="13"/>
      <c r="J59" s="22"/>
      <c r="K59" s="13"/>
      <c r="L59" s="22"/>
      <c r="M59" s="14"/>
      <c r="N59" s="13"/>
      <c r="O59" s="7"/>
      <c r="P59" s="6"/>
      <c r="Q59" s="3">
        <f>IF($A59="","",IFERROR(INDEX(Lines!$B$5:$B$34,MATCH($A59,Lines!$A$5:$A$34,0)),"Unknown line"))</f>
      </c>
      <c r="R59" s="17">
        <f>IF($A59="","",IFERROR(INDEX(Lines!$D$5:$D$34,MATCH($A59,Lines!$A$5:$A$34,0)),""))</f>
      </c>
      <c r="S59" s="3">
        <f>IF($B59="","",IFERROR(INDEX(Suppliers!$B$5:$B$12,MATCH($B59,Suppliers!$A$5:$A$12,0))&amp;"",""))</f>
      </c>
      <c r="T59" s="17">
        <f>IF(OR(N($R59)&lt;=0,$F59=""),"",CEILING(MAX($R59,N($C59),N($E59)),IF(N($D59)&gt;0,$D59,1)))</f>
      </c>
      <c r="U59" s="16">
        <f>IF($T59="","",IF(AND($K59&lt;&gt;"",$L59&lt;&gt;"",$T59&gt;=N($K59)),$L59,IF(AND($I59&lt;&gt;"",$J59&lt;&gt;"",$T59&gt;=N($I59)),$J59,IF(AND($G59&lt;&gt;"",$H59&lt;&gt;"",$T59&gt;=N($G59)),$H59,$F59))))</f>
      </c>
      <c r="V59" s="15">
        <f>IF($T59="","",$T59*$U59)</f>
      </c>
      <c r="W59" s="16">
        <f>IF($S59="","",IF($S59=Setup!$B$3,1,IFERROR(IF(N(INDEX(Setup!$B$8:$B$17,MATCH($S59,Setup!$A$8:$A$17,0)))&gt;0,INDEX(Setup!$B$8:$B$17,MATCH($S59,Setup!$A$8:$A$17,0)),""),"")))</f>
      </c>
      <c r="X59" s="15">
        <f>IF($V59="","",IFERROR(INDEX(Suppliers!$K$5:$K$12,MATCH($B59,Suppliers!$A$5:$A$12,0))*$V59/INDEX(Suppliers!$I$5:$I$12,MATCH($B59,Suppliers!$A$5:$A$12,0)),0))</f>
      </c>
      <c r="Y59" s="15">
        <f>IF($V59="","",N($M59)*($V59+IF(Setup!$B$4="Yes",$X59,0)))</f>
      </c>
      <c r="Z59" s="15">
        <f>IF($V59="","",$V59+$X59+$Y59)</f>
      </c>
      <c r="AA59" s="15">
        <f>IF(OR($Z59="",$W59=""),"",$Z59*$W59)</f>
      </c>
      <c r="AB59" s="16">
        <f>IF($AA59="","",$AA59/$R59)</f>
      </c>
      <c r="AC59" s="17">
        <f>IF($T59="","",$T59-$R59)</f>
      </c>
      <c r="AD59" s="3">
        <f>IF($A59="","",IF($Q59="Unknown line","Line not on Lines",IF($S59="","Supplier not on Suppliers",IF($F59="","No price",IF($W59="","Exchange rate missing — left out","OK")))))</f>
      </c>
      <c r="AE59" s="17">
        <f>IF($AB59="","",COUNTIFS($A$5:$A$84,$A59,$AB$5:$AB$84,"&lt;"&amp;$AB59)+1)</f>
      </c>
      <c r="AF59" s="3">
        <f>IF($AE59=1,"Best","")</f>
      </c>
      <c r="AG59" s="17">
        <f>IF($T59="","",IF(AND($G59&lt;&gt;"",$H59&lt;&gt;"",$T59&lt;N($G59)),$G59,IF(AND($I59&lt;&gt;"",$J59&lt;&gt;"",$T59&lt;N($I59)),$I59,IF(AND($K59&lt;&gt;"",$L59&lt;&gt;"",$T59&lt;N($K59)),$K59,""))))</f>
      </c>
      <c r="AH59" s="15">
        <f>IF($AG59="","",CEILING($AG59,IF(N($D59)&gt;0,$D59,1))*IF($AG59=$G59,$H59,IF($AG59=$I59,$J59,$L59)))</f>
      </c>
      <c r="AI59" s="3">
        <f>IF($AH59="","",IF($AH59&lt;$V59,"Ordering "&amp;TEXT(CEILING($AG59,IF(N($D59)&gt;0,$D59,1)),"0")&amp;" costs "&amp;TEXT($V59-$AH59,"0.00")&amp;" less in goods",""))</f>
      </c>
      <c r="AJ59" s="3">
        <f>IF($AE59="","",$A59&amp;"#"&amp;$AE59)</f>
      </c>
      <c r="AK59" s="17">
        <f>IF(OR($A59="",$B59=""),0,IF(IFERROR(INDEX(Award!$D$5:$D$34,MATCH($A59,Award!$A$5:$A$34,0))&amp;"","")=$B59,1,0))</f>
      </c>
      <c r="AL59" s="15">
        <f>IF(OR($AK59&lt;&gt;1,$V59=""),"",IFERROR(INDEX(Suppliers!$N$5:$N$12,MATCH($B59,Suppliers!$A$5:$A$12,0))*$V59/INDEX(Suppliers!$L$5:$L$12,MATCH($B59,Suppliers!$A$5:$A$12,0)),0))</f>
      </c>
      <c r="AM59" s="15">
        <f>IF($AL59="","",N($M59)*($V59+IF(Setup!$B$4="Yes",$AL59,0)))</f>
      </c>
      <c r="AN59" s="15">
        <f>IF(OR($AL59="",$W59=""),"",($V59+$AL59+$AM59)*$W59)</f>
      </c>
    </row>
    <row r="60">
      <c r="A60" s="13"/>
      <c r="B60" s="6"/>
      <c r="C60" s="13"/>
      <c r="D60" s="13"/>
      <c r="E60" s="13"/>
      <c r="F60" s="22"/>
      <c r="G60" s="13"/>
      <c r="H60" s="22"/>
      <c r="I60" s="13"/>
      <c r="J60" s="22"/>
      <c r="K60" s="13"/>
      <c r="L60" s="22"/>
      <c r="M60" s="14"/>
      <c r="N60" s="13"/>
      <c r="O60" s="7"/>
      <c r="P60" s="6"/>
      <c r="Q60" s="3">
        <f>IF($A60="","",IFERROR(INDEX(Lines!$B$5:$B$34,MATCH($A60,Lines!$A$5:$A$34,0)),"Unknown line"))</f>
      </c>
      <c r="R60" s="17">
        <f>IF($A60="","",IFERROR(INDEX(Lines!$D$5:$D$34,MATCH($A60,Lines!$A$5:$A$34,0)),""))</f>
      </c>
      <c r="S60" s="3">
        <f>IF($B60="","",IFERROR(INDEX(Suppliers!$B$5:$B$12,MATCH($B60,Suppliers!$A$5:$A$12,0))&amp;"",""))</f>
      </c>
      <c r="T60" s="17">
        <f>IF(OR(N($R60)&lt;=0,$F60=""),"",CEILING(MAX($R60,N($C60),N($E60)),IF(N($D60)&gt;0,$D60,1)))</f>
      </c>
      <c r="U60" s="16">
        <f>IF($T60="","",IF(AND($K60&lt;&gt;"",$L60&lt;&gt;"",$T60&gt;=N($K60)),$L60,IF(AND($I60&lt;&gt;"",$J60&lt;&gt;"",$T60&gt;=N($I60)),$J60,IF(AND($G60&lt;&gt;"",$H60&lt;&gt;"",$T60&gt;=N($G60)),$H60,$F60))))</f>
      </c>
      <c r="V60" s="15">
        <f>IF($T60="","",$T60*$U60)</f>
      </c>
      <c r="W60" s="16">
        <f>IF($S60="","",IF($S60=Setup!$B$3,1,IFERROR(IF(N(INDEX(Setup!$B$8:$B$17,MATCH($S60,Setup!$A$8:$A$17,0)))&gt;0,INDEX(Setup!$B$8:$B$17,MATCH($S60,Setup!$A$8:$A$17,0)),""),"")))</f>
      </c>
      <c r="X60" s="15">
        <f>IF($V60="","",IFERROR(INDEX(Suppliers!$K$5:$K$12,MATCH($B60,Suppliers!$A$5:$A$12,0))*$V60/INDEX(Suppliers!$I$5:$I$12,MATCH($B60,Suppliers!$A$5:$A$12,0)),0))</f>
      </c>
      <c r="Y60" s="15">
        <f>IF($V60="","",N($M60)*($V60+IF(Setup!$B$4="Yes",$X60,0)))</f>
      </c>
      <c r="Z60" s="15">
        <f>IF($V60="","",$V60+$X60+$Y60)</f>
      </c>
      <c r="AA60" s="15">
        <f>IF(OR($Z60="",$W60=""),"",$Z60*$W60)</f>
      </c>
      <c r="AB60" s="16">
        <f>IF($AA60="","",$AA60/$R60)</f>
      </c>
      <c r="AC60" s="17">
        <f>IF($T60="","",$T60-$R60)</f>
      </c>
      <c r="AD60" s="3">
        <f>IF($A60="","",IF($Q60="Unknown line","Line not on Lines",IF($S60="","Supplier not on Suppliers",IF($F60="","No price",IF($W60="","Exchange rate missing — left out","OK")))))</f>
      </c>
      <c r="AE60" s="17">
        <f>IF($AB60="","",COUNTIFS($A$5:$A$84,$A60,$AB$5:$AB$84,"&lt;"&amp;$AB60)+1)</f>
      </c>
      <c r="AF60" s="3">
        <f>IF($AE60=1,"Best","")</f>
      </c>
      <c r="AG60" s="17">
        <f>IF($T60="","",IF(AND($G60&lt;&gt;"",$H60&lt;&gt;"",$T60&lt;N($G60)),$G60,IF(AND($I60&lt;&gt;"",$J60&lt;&gt;"",$T60&lt;N($I60)),$I60,IF(AND($K60&lt;&gt;"",$L60&lt;&gt;"",$T60&lt;N($K60)),$K60,""))))</f>
      </c>
      <c r="AH60" s="15">
        <f>IF($AG60="","",CEILING($AG60,IF(N($D60)&gt;0,$D60,1))*IF($AG60=$G60,$H60,IF($AG60=$I60,$J60,$L60)))</f>
      </c>
      <c r="AI60" s="3">
        <f>IF($AH60="","",IF($AH60&lt;$V60,"Ordering "&amp;TEXT(CEILING($AG60,IF(N($D60)&gt;0,$D60,1)),"0")&amp;" costs "&amp;TEXT($V60-$AH60,"0.00")&amp;" less in goods",""))</f>
      </c>
      <c r="AJ60" s="3">
        <f>IF($AE60="","",$A60&amp;"#"&amp;$AE60)</f>
      </c>
      <c r="AK60" s="17">
        <f>IF(OR($A60="",$B60=""),0,IF(IFERROR(INDEX(Award!$D$5:$D$34,MATCH($A60,Award!$A$5:$A$34,0))&amp;"","")=$B60,1,0))</f>
      </c>
      <c r="AL60" s="15">
        <f>IF(OR($AK60&lt;&gt;1,$V60=""),"",IFERROR(INDEX(Suppliers!$N$5:$N$12,MATCH($B60,Suppliers!$A$5:$A$12,0))*$V60/INDEX(Suppliers!$L$5:$L$12,MATCH($B60,Suppliers!$A$5:$A$12,0)),0))</f>
      </c>
      <c r="AM60" s="15">
        <f>IF($AL60="","",N($M60)*($V60+IF(Setup!$B$4="Yes",$AL60,0)))</f>
      </c>
      <c r="AN60" s="15">
        <f>IF(OR($AL60="",$W60=""),"",($V60+$AL60+$AM60)*$W60)</f>
      </c>
    </row>
    <row r="61">
      <c r="A61" s="13"/>
      <c r="B61" s="6"/>
      <c r="C61" s="13"/>
      <c r="D61" s="13"/>
      <c r="E61" s="13"/>
      <c r="F61" s="22"/>
      <c r="G61" s="13"/>
      <c r="H61" s="22"/>
      <c r="I61" s="13"/>
      <c r="J61" s="22"/>
      <c r="K61" s="13"/>
      <c r="L61" s="22"/>
      <c r="M61" s="14"/>
      <c r="N61" s="13"/>
      <c r="O61" s="7"/>
      <c r="P61" s="6"/>
      <c r="Q61" s="3">
        <f>IF($A61="","",IFERROR(INDEX(Lines!$B$5:$B$34,MATCH($A61,Lines!$A$5:$A$34,0)),"Unknown line"))</f>
      </c>
      <c r="R61" s="17">
        <f>IF($A61="","",IFERROR(INDEX(Lines!$D$5:$D$34,MATCH($A61,Lines!$A$5:$A$34,0)),""))</f>
      </c>
      <c r="S61" s="3">
        <f>IF($B61="","",IFERROR(INDEX(Suppliers!$B$5:$B$12,MATCH($B61,Suppliers!$A$5:$A$12,0))&amp;"",""))</f>
      </c>
      <c r="T61" s="17">
        <f>IF(OR(N($R61)&lt;=0,$F61=""),"",CEILING(MAX($R61,N($C61),N($E61)),IF(N($D61)&gt;0,$D61,1)))</f>
      </c>
      <c r="U61" s="16">
        <f>IF($T61="","",IF(AND($K61&lt;&gt;"",$L61&lt;&gt;"",$T61&gt;=N($K61)),$L61,IF(AND($I61&lt;&gt;"",$J61&lt;&gt;"",$T61&gt;=N($I61)),$J61,IF(AND($G61&lt;&gt;"",$H61&lt;&gt;"",$T61&gt;=N($G61)),$H61,$F61))))</f>
      </c>
      <c r="V61" s="15">
        <f>IF($T61="","",$T61*$U61)</f>
      </c>
      <c r="W61" s="16">
        <f>IF($S61="","",IF($S61=Setup!$B$3,1,IFERROR(IF(N(INDEX(Setup!$B$8:$B$17,MATCH($S61,Setup!$A$8:$A$17,0)))&gt;0,INDEX(Setup!$B$8:$B$17,MATCH($S61,Setup!$A$8:$A$17,0)),""),"")))</f>
      </c>
      <c r="X61" s="15">
        <f>IF($V61="","",IFERROR(INDEX(Suppliers!$K$5:$K$12,MATCH($B61,Suppliers!$A$5:$A$12,0))*$V61/INDEX(Suppliers!$I$5:$I$12,MATCH($B61,Suppliers!$A$5:$A$12,0)),0))</f>
      </c>
      <c r="Y61" s="15">
        <f>IF($V61="","",N($M61)*($V61+IF(Setup!$B$4="Yes",$X61,0)))</f>
      </c>
      <c r="Z61" s="15">
        <f>IF($V61="","",$V61+$X61+$Y61)</f>
      </c>
      <c r="AA61" s="15">
        <f>IF(OR($Z61="",$W61=""),"",$Z61*$W61)</f>
      </c>
      <c r="AB61" s="16">
        <f>IF($AA61="","",$AA61/$R61)</f>
      </c>
      <c r="AC61" s="17">
        <f>IF($T61="","",$T61-$R61)</f>
      </c>
      <c r="AD61" s="3">
        <f>IF($A61="","",IF($Q61="Unknown line","Line not on Lines",IF($S61="","Supplier not on Suppliers",IF($F61="","No price",IF($W61="","Exchange rate missing — left out","OK")))))</f>
      </c>
      <c r="AE61" s="17">
        <f>IF($AB61="","",COUNTIFS($A$5:$A$84,$A61,$AB$5:$AB$84,"&lt;"&amp;$AB61)+1)</f>
      </c>
      <c r="AF61" s="3">
        <f>IF($AE61=1,"Best","")</f>
      </c>
      <c r="AG61" s="17">
        <f>IF($T61="","",IF(AND($G61&lt;&gt;"",$H61&lt;&gt;"",$T61&lt;N($G61)),$G61,IF(AND($I61&lt;&gt;"",$J61&lt;&gt;"",$T61&lt;N($I61)),$I61,IF(AND($K61&lt;&gt;"",$L61&lt;&gt;"",$T61&lt;N($K61)),$K61,""))))</f>
      </c>
      <c r="AH61" s="15">
        <f>IF($AG61="","",CEILING($AG61,IF(N($D61)&gt;0,$D61,1))*IF($AG61=$G61,$H61,IF($AG61=$I61,$J61,$L61)))</f>
      </c>
      <c r="AI61" s="3">
        <f>IF($AH61="","",IF($AH61&lt;$V61,"Ordering "&amp;TEXT(CEILING($AG61,IF(N($D61)&gt;0,$D61,1)),"0")&amp;" costs "&amp;TEXT($V61-$AH61,"0.00")&amp;" less in goods",""))</f>
      </c>
      <c r="AJ61" s="3">
        <f>IF($AE61="","",$A61&amp;"#"&amp;$AE61)</f>
      </c>
      <c r="AK61" s="17">
        <f>IF(OR($A61="",$B61=""),0,IF(IFERROR(INDEX(Award!$D$5:$D$34,MATCH($A61,Award!$A$5:$A$34,0))&amp;"","")=$B61,1,0))</f>
      </c>
      <c r="AL61" s="15">
        <f>IF(OR($AK61&lt;&gt;1,$V61=""),"",IFERROR(INDEX(Suppliers!$N$5:$N$12,MATCH($B61,Suppliers!$A$5:$A$12,0))*$V61/INDEX(Suppliers!$L$5:$L$12,MATCH($B61,Suppliers!$A$5:$A$12,0)),0))</f>
      </c>
      <c r="AM61" s="15">
        <f>IF($AL61="","",N($M61)*($V61+IF(Setup!$B$4="Yes",$AL61,0)))</f>
      </c>
      <c r="AN61" s="15">
        <f>IF(OR($AL61="",$W61=""),"",($V61+$AL61+$AM61)*$W61)</f>
      </c>
    </row>
    <row r="62">
      <c r="A62" s="13"/>
      <c r="B62" s="6"/>
      <c r="C62" s="13"/>
      <c r="D62" s="13"/>
      <c r="E62" s="13"/>
      <c r="F62" s="22"/>
      <c r="G62" s="13"/>
      <c r="H62" s="22"/>
      <c r="I62" s="13"/>
      <c r="J62" s="22"/>
      <c r="K62" s="13"/>
      <c r="L62" s="22"/>
      <c r="M62" s="14"/>
      <c r="N62" s="13"/>
      <c r="O62" s="7"/>
      <c r="P62" s="6"/>
      <c r="Q62" s="3">
        <f>IF($A62="","",IFERROR(INDEX(Lines!$B$5:$B$34,MATCH($A62,Lines!$A$5:$A$34,0)),"Unknown line"))</f>
      </c>
      <c r="R62" s="17">
        <f>IF($A62="","",IFERROR(INDEX(Lines!$D$5:$D$34,MATCH($A62,Lines!$A$5:$A$34,0)),""))</f>
      </c>
      <c r="S62" s="3">
        <f>IF($B62="","",IFERROR(INDEX(Suppliers!$B$5:$B$12,MATCH($B62,Suppliers!$A$5:$A$12,0))&amp;"",""))</f>
      </c>
      <c r="T62" s="17">
        <f>IF(OR(N($R62)&lt;=0,$F62=""),"",CEILING(MAX($R62,N($C62),N($E62)),IF(N($D62)&gt;0,$D62,1)))</f>
      </c>
      <c r="U62" s="16">
        <f>IF($T62="","",IF(AND($K62&lt;&gt;"",$L62&lt;&gt;"",$T62&gt;=N($K62)),$L62,IF(AND($I62&lt;&gt;"",$J62&lt;&gt;"",$T62&gt;=N($I62)),$J62,IF(AND($G62&lt;&gt;"",$H62&lt;&gt;"",$T62&gt;=N($G62)),$H62,$F62))))</f>
      </c>
      <c r="V62" s="15">
        <f>IF($T62="","",$T62*$U62)</f>
      </c>
      <c r="W62" s="16">
        <f>IF($S62="","",IF($S62=Setup!$B$3,1,IFERROR(IF(N(INDEX(Setup!$B$8:$B$17,MATCH($S62,Setup!$A$8:$A$17,0)))&gt;0,INDEX(Setup!$B$8:$B$17,MATCH($S62,Setup!$A$8:$A$17,0)),""),"")))</f>
      </c>
      <c r="X62" s="15">
        <f>IF($V62="","",IFERROR(INDEX(Suppliers!$K$5:$K$12,MATCH($B62,Suppliers!$A$5:$A$12,0))*$V62/INDEX(Suppliers!$I$5:$I$12,MATCH($B62,Suppliers!$A$5:$A$12,0)),0))</f>
      </c>
      <c r="Y62" s="15">
        <f>IF($V62="","",N($M62)*($V62+IF(Setup!$B$4="Yes",$X62,0)))</f>
      </c>
      <c r="Z62" s="15">
        <f>IF($V62="","",$V62+$X62+$Y62)</f>
      </c>
      <c r="AA62" s="15">
        <f>IF(OR($Z62="",$W62=""),"",$Z62*$W62)</f>
      </c>
      <c r="AB62" s="16">
        <f>IF($AA62="","",$AA62/$R62)</f>
      </c>
      <c r="AC62" s="17">
        <f>IF($T62="","",$T62-$R62)</f>
      </c>
      <c r="AD62" s="3">
        <f>IF($A62="","",IF($Q62="Unknown line","Line not on Lines",IF($S62="","Supplier not on Suppliers",IF($F62="","No price",IF($W62="","Exchange rate missing — left out","OK")))))</f>
      </c>
      <c r="AE62" s="17">
        <f>IF($AB62="","",COUNTIFS($A$5:$A$84,$A62,$AB$5:$AB$84,"&lt;"&amp;$AB62)+1)</f>
      </c>
      <c r="AF62" s="3">
        <f>IF($AE62=1,"Best","")</f>
      </c>
      <c r="AG62" s="17">
        <f>IF($T62="","",IF(AND($G62&lt;&gt;"",$H62&lt;&gt;"",$T62&lt;N($G62)),$G62,IF(AND($I62&lt;&gt;"",$J62&lt;&gt;"",$T62&lt;N($I62)),$I62,IF(AND($K62&lt;&gt;"",$L62&lt;&gt;"",$T62&lt;N($K62)),$K62,""))))</f>
      </c>
      <c r="AH62" s="15">
        <f>IF($AG62="","",CEILING($AG62,IF(N($D62)&gt;0,$D62,1))*IF($AG62=$G62,$H62,IF($AG62=$I62,$J62,$L62)))</f>
      </c>
      <c r="AI62" s="3">
        <f>IF($AH62="","",IF($AH62&lt;$V62,"Ordering "&amp;TEXT(CEILING($AG62,IF(N($D62)&gt;0,$D62,1)),"0")&amp;" costs "&amp;TEXT($V62-$AH62,"0.00")&amp;" less in goods",""))</f>
      </c>
      <c r="AJ62" s="3">
        <f>IF($AE62="","",$A62&amp;"#"&amp;$AE62)</f>
      </c>
      <c r="AK62" s="17">
        <f>IF(OR($A62="",$B62=""),0,IF(IFERROR(INDEX(Award!$D$5:$D$34,MATCH($A62,Award!$A$5:$A$34,0))&amp;"","")=$B62,1,0))</f>
      </c>
      <c r="AL62" s="15">
        <f>IF(OR($AK62&lt;&gt;1,$V62=""),"",IFERROR(INDEX(Suppliers!$N$5:$N$12,MATCH($B62,Suppliers!$A$5:$A$12,0))*$V62/INDEX(Suppliers!$L$5:$L$12,MATCH($B62,Suppliers!$A$5:$A$12,0)),0))</f>
      </c>
      <c r="AM62" s="15">
        <f>IF($AL62="","",N($M62)*($V62+IF(Setup!$B$4="Yes",$AL62,0)))</f>
      </c>
      <c r="AN62" s="15">
        <f>IF(OR($AL62="",$W62=""),"",($V62+$AL62+$AM62)*$W62)</f>
      </c>
    </row>
    <row r="63">
      <c r="A63" s="13"/>
      <c r="B63" s="6"/>
      <c r="C63" s="13"/>
      <c r="D63" s="13"/>
      <c r="E63" s="13"/>
      <c r="F63" s="22"/>
      <c r="G63" s="13"/>
      <c r="H63" s="22"/>
      <c r="I63" s="13"/>
      <c r="J63" s="22"/>
      <c r="K63" s="13"/>
      <c r="L63" s="22"/>
      <c r="M63" s="14"/>
      <c r="N63" s="13"/>
      <c r="O63" s="7"/>
      <c r="P63" s="6"/>
      <c r="Q63" s="3">
        <f>IF($A63="","",IFERROR(INDEX(Lines!$B$5:$B$34,MATCH($A63,Lines!$A$5:$A$34,0)),"Unknown line"))</f>
      </c>
      <c r="R63" s="17">
        <f>IF($A63="","",IFERROR(INDEX(Lines!$D$5:$D$34,MATCH($A63,Lines!$A$5:$A$34,0)),""))</f>
      </c>
      <c r="S63" s="3">
        <f>IF($B63="","",IFERROR(INDEX(Suppliers!$B$5:$B$12,MATCH($B63,Suppliers!$A$5:$A$12,0))&amp;"",""))</f>
      </c>
      <c r="T63" s="17">
        <f>IF(OR(N($R63)&lt;=0,$F63=""),"",CEILING(MAX($R63,N($C63),N($E63)),IF(N($D63)&gt;0,$D63,1)))</f>
      </c>
      <c r="U63" s="16">
        <f>IF($T63="","",IF(AND($K63&lt;&gt;"",$L63&lt;&gt;"",$T63&gt;=N($K63)),$L63,IF(AND($I63&lt;&gt;"",$J63&lt;&gt;"",$T63&gt;=N($I63)),$J63,IF(AND($G63&lt;&gt;"",$H63&lt;&gt;"",$T63&gt;=N($G63)),$H63,$F63))))</f>
      </c>
      <c r="V63" s="15">
        <f>IF($T63="","",$T63*$U63)</f>
      </c>
      <c r="W63" s="16">
        <f>IF($S63="","",IF($S63=Setup!$B$3,1,IFERROR(IF(N(INDEX(Setup!$B$8:$B$17,MATCH($S63,Setup!$A$8:$A$17,0)))&gt;0,INDEX(Setup!$B$8:$B$17,MATCH($S63,Setup!$A$8:$A$17,0)),""),"")))</f>
      </c>
      <c r="X63" s="15">
        <f>IF($V63="","",IFERROR(INDEX(Suppliers!$K$5:$K$12,MATCH($B63,Suppliers!$A$5:$A$12,0))*$V63/INDEX(Suppliers!$I$5:$I$12,MATCH($B63,Suppliers!$A$5:$A$12,0)),0))</f>
      </c>
      <c r="Y63" s="15">
        <f>IF($V63="","",N($M63)*($V63+IF(Setup!$B$4="Yes",$X63,0)))</f>
      </c>
      <c r="Z63" s="15">
        <f>IF($V63="","",$V63+$X63+$Y63)</f>
      </c>
      <c r="AA63" s="15">
        <f>IF(OR($Z63="",$W63=""),"",$Z63*$W63)</f>
      </c>
      <c r="AB63" s="16">
        <f>IF($AA63="","",$AA63/$R63)</f>
      </c>
      <c r="AC63" s="17">
        <f>IF($T63="","",$T63-$R63)</f>
      </c>
      <c r="AD63" s="3">
        <f>IF($A63="","",IF($Q63="Unknown line","Line not on Lines",IF($S63="","Supplier not on Suppliers",IF($F63="","No price",IF($W63="","Exchange rate missing — left out","OK")))))</f>
      </c>
      <c r="AE63" s="17">
        <f>IF($AB63="","",COUNTIFS($A$5:$A$84,$A63,$AB$5:$AB$84,"&lt;"&amp;$AB63)+1)</f>
      </c>
      <c r="AF63" s="3">
        <f>IF($AE63=1,"Best","")</f>
      </c>
      <c r="AG63" s="17">
        <f>IF($T63="","",IF(AND($G63&lt;&gt;"",$H63&lt;&gt;"",$T63&lt;N($G63)),$G63,IF(AND($I63&lt;&gt;"",$J63&lt;&gt;"",$T63&lt;N($I63)),$I63,IF(AND($K63&lt;&gt;"",$L63&lt;&gt;"",$T63&lt;N($K63)),$K63,""))))</f>
      </c>
      <c r="AH63" s="15">
        <f>IF($AG63="","",CEILING($AG63,IF(N($D63)&gt;0,$D63,1))*IF($AG63=$G63,$H63,IF($AG63=$I63,$J63,$L63)))</f>
      </c>
      <c r="AI63" s="3">
        <f>IF($AH63="","",IF($AH63&lt;$V63,"Ordering "&amp;TEXT(CEILING($AG63,IF(N($D63)&gt;0,$D63,1)),"0")&amp;" costs "&amp;TEXT($V63-$AH63,"0.00")&amp;" less in goods",""))</f>
      </c>
      <c r="AJ63" s="3">
        <f>IF($AE63="","",$A63&amp;"#"&amp;$AE63)</f>
      </c>
      <c r="AK63" s="17">
        <f>IF(OR($A63="",$B63=""),0,IF(IFERROR(INDEX(Award!$D$5:$D$34,MATCH($A63,Award!$A$5:$A$34,0))&amp;"","")=$B63,1,0))</f>
      </c>
      <c r="AL63" s="15">
        <f>IF(OR($AK63&lt;&gt;1,$V63=""),"",IFERROR(INDEX(Suppliers!$N$5:$N$12,MATCH($B63,Suppliers!$A$5:$A$12,0))*$V63/INDEX(Suppliers!$L$5:$L$12,MATCH($B63,Suppliers!$A$5:$A$12,0)),0))</f>
      </c>
      <c r="AM63" s="15">
        <f>IF($AL63="","",N($M63)*($V63+IF(Setup!$B$4="Yes",$AL63,0)))</f>
      </c>
      <c r="AN63" s="15">
        <f>IF(OR($AL63="",$W63=""),"",($V63+$AL63+$AM63)*$W63)</f>
      </c>
    </row>
    <row r="64">
      <c r="A64" s="13"/>
      <c r="B64" s="6"/>
      <c r="C64" s="13"/>
      <c r="D64" s="13"/>
      <c r="E64" s="13"/>
      <c r="F64" s="22"/>
      <c r="G64" s="13"/>
      <c r="H64" s="22"/>
      <c r="I64" s="13"/>
      <c r="J64" s="22"/>
      <c r="K64" s="13"/>
      <c r="L64" s="22"/>
      <c r="M64" s="14"/>
      <c r="N64" s="13"/>
      <c r="O64" s="7"/>
      <c r="P64" s="6"/>
      <c r="Q64" s="3">
        <f>IF($A64="","",IFERROR(INDEX(Lines!$B$5:$B$34,MATCH($A64,Lines!$A$5:$A$34,0)),"Unknown line"))</f>
      </c>
      <c r="R64" s="17">
        <f>IF($A64="","",IFERROR(INDEX(Lines!$D$5:$D$34,MATCH($A64,Lines!$A$5:$A$34,0)),""))</f>
      </c>
      <c r="S64" s="3">
        <f>IF($B64="","",IFERROR(INDEX(Suppliers!$B$5:$B$12,MATCH($B64,Suppliers!$A$5:$A$12,0))&amp;"",""))</f>
      </c>
      <c r="T64" s="17">
        <f>IF(OR(N($R64)&lt;=0,$F64=""),"",CEILING(MAX($R64,N($C64),N($E64)),IF(N($D64)&gt;0,$D64,1)))</f>
      </c>
      <c r="U64" s="16">
        <f>IF($T64="","",IF(AND($K64&lt;&gt;"",$L64&lt;&gt;"",$T64&gt;=N($K64)),$L64,IF(AND($I64&lt;&gt;"",$J64&lt;&gt;"",$T64&gt;=N($I64)),$J64,IF(AND($G64&lt;&gt;"",$H64&lt;&gt;"",$T64&gt;=N($G64)),$H64,$F64))))</f>
      </c>
      <c r="V64" s="15">
        <f>IF($T64="","",$T64*$U64)</f>
      </c>
      <c r="W64" s="16">
        <f>IF($S64="","",IF($S64=Setup!$B$3,1,IFERROR(IF(N(INDEX(Setup!$B$8:$B$17,MATCH($S64,Setup!$A$8:$A$17,0)))&gt;0,INDEX(Setup!$B$8:$B$17,MATCH($S64,Setup!$A$8:$A$17,0)),""),"")))</f>
      </c>
      <c r="X64" s="15">
        <f>IF($V64="","",IFERROR(INDEX(Suppliers!$K$5:$K$12,MATCH($B64,Suppliers!$A$5:$A$12,0))*$V64/INDEX(Suppliers!$I$5:$I$12,MATCH($B64,Suppliers!$A$5:$A$12,0)),0))</f>
      </c>
      <c r="Y64" s="15">
        <f>IF($V64="","",N($M64)*($V64+IF(Setup!$B$4="Yes",$X64,0)))</f>
      </c>
      <c r="Z64" s="15">
        <f>IF($V64="","",$V64+$X64+$Y64)</f>
      </c>
      <c r="AA64" s="15">
        <f>IF(OR($Z64="",$W64=""),"",$Z64*$W64)</f>
      </c>
      <c r="AB64" s="16">
        <f>IF($AA64="","",$AA64/$R64)</f>
      </c>
      <c r="AC64" s="17">
        <f>IF($T64="","",$T64-$R64)</f>
      </c>
      <c r="AD64" s="3">
        <f>IF($A64="","",IF($Q64="Unknown line","Line not on Lines",IF($S64="","Supplier not on Suppliers",IF($F64="","No price",IF($W64="","Exchange rate missing — left out","OK")))))</f>
      </c>
      <c r="AE64" s="17">
        <f>IF($AB64="","",COUNTIFS($A$5:$A$84,$A64,$AB$5:$AB$84,"&lt;"&amp;$AB64)+1)</f>
      </c>
      <c r="AF64" s="3">
        <f>IF($AE64=1,"Best","")</f>
      </c>
      <c r="AG64" s="17">
        <f>IF($T64="","",IF(AND($G64&lt;&gt;"",$H64&lt;&gt;"",$T64&lt;N($G64)),$G64,IF(AND($I64&lt;&gt;"",$J64&lt;&gt;"",$T64&lt;N($I64)),$I64,IF(AND($K64&lt;&gt;"",$L64&lt;&gt;"",$T64&lt;N($K64)),$K64,""))))</f>
      </c>
      <c r="AH64" s="15">
        <f>IF($AG64="","",CEILING($AG64,IF(N($D64)&gt;0,$D64,1))*IF($AG64=$G64,$H64,IF($AG64=$I64,$J64,$L64)))</f>
      </c>
      <c r="AI64" s="3">
        <f>IF($AH64="","",IF($AH64&lt;$V64,"Ordering "&amp;TEXT(CEILING($AG64,IF(N($D64)&gt;0,$D64,1)),"0")&amp;" costs "&amp;TEXT($V64-$AH64,"0.00")&amp;" less in goods",""))</f>
      </c>
      <c r="AJ64" s="3">
        <f>IF($AE64="","",$A64&amp;"#"&amp;$AE64)</f>
      </c>
      <c r="AK64" s="17">
        <f>IF(OR($A64="",$B64=""),0,IF(IFERROR(INDEX(Award!$D$5:$D$34,MATCH($A64,Award!$A$5:$A$34,0))&amp;"","")=$B64,1,0))</f>
      </c>
      <c r="AL64" s="15">
        <f>IF(OR($AK64&lt;&gt;1,$V64=""),"",IFERROR(INDEX(Suppliers!$N$5:$N$12,MATCH($B64,Suppliers!$A$5:$A$12,0))*$V64/INDEX(Suppliers!$L$5:$L$12,MATCH($B64,Suppliers!$A$5:$A$12,0)),0))</f>
      </c>
      <c r="AM64" s="15">
        <f>IF($AL64="","",N($M64)*($V64+IF(Setup!$B$4="Yes",$AL64,0)))</f>
      </c>
      <c r="AN64" s="15">
        <f>IF(OR($AL64="",$W64=""),"",($V64+$AL64+$AM64)*$W64)</f>
      </c>
    </row>
    <row r="65">
      <c r="A65" s="13"/>
      <c r="B65" s="6"/>
      <c r="C65" s="13"/>
      <c r="D65" s="13"/>
      <c r="E65" s="13"/>
      <c r="F65" s="22"/>
      <c r="G65" s="13"/>
      <c r="H65" s="22"/>
      <c r="I65" s="13"/>
      <c r="J65" s="22"/>
      <c r="K65" s="13"/>
      <c r="L65" s="22"/>
      <c r="M65" s="14"/>
      <c r="N65" s="13"/>
      <c r="O65" s="7"/>
      <c r="P65" s="6"/>
      <c r="Q65" s="3">
        <f>IF($A65="","",IFERROR(INDEX(Lines!$B$5:$B$34,MATCH($A65,Lines!$A$5:$A$34,0)),"Unknown line"))</f>
      </c>
      <c r="R65" s="17">
        <f>IF($A65="","",IFERROR(INDEX(Lines!$D$5:$D$34,MATCH($A65,Lines!$A$5:$A$34,0)),""))</f>
      </c>
      <c r="S65" s="3">
        <f>IF($B65="","",IFERROR(INDEX(Suppliers!$B$5:$B$12,MATCH($B65,Suppliers!$A$5:$A$12,0))&amp;"",""))</f>
      </c>
      <c r="T65" s="17">
        <f>IF(OR(N($R65)&lt;=0,$F65=""),"",CEILING(MAX($R65,N($C65),N($E65)),IF(N($D65)&gt;0,$D65,1)))</f>
      </c>
      <c r="U65" s="16">
        <f>IF($T65="","",IF(AND($K65&lt;&gt;"",$L65&lt;&gt;"",$T65&gt;=N($K65)),$L65,IF(AND($I65&lt;&gt;"",$J65&lt;&gt;"",$T65&gt;=N($I65)),$J65,IF(AND($G65&lt;&gt;"",$H65&lt;&gt;"",$T65&gt;=N($G65)),$H65,$F65))))</f>
      </c>
      <c r="V65" s="15">
        <f>IF($T65="","",$T65*$U65)</f>
      </c>
      <c r="W65" s="16">
        <f>IF($S65="","",IF($S65=Setup!$B$3,1,IFERROR(IF(N(INDEX(Setup!$B$8:$B$17,MATCH($S65,Setup!$A$8:$A$17,0)))&gt;0,INDEX(Setup!$B$8:$B$17,MATCH($S65,Setup!$A$8:$A$17,0)),""),"")))</f>
      </c>
      <c r="X65" s="15">
        <f>IF($V65="","",IFERROR(INDEX(Suppliers!$K$5:$K$12,MATCH($B65,Suppliers!$A$5:$A$12,0))*$V65/INDEX(Suppliers!$I$5:$I$12,MATCH($B65,Suppliers!$A$5:$A$12,0)),0))</f>
      </c>
      <c r="Y65" s="15">
        <f>IF($V65="","",N($M65)*($V65+IF(Setup!$B$4="Yes",$X65,0)))</f>
      </c>
      <c r="Z65" s="15">
        <f>IF($V65="","",$V65+$X65+$Y65)</f>
      </c>
      <c r="AA65" s="15">
        <f>IF(OR($Z65="",$W65=""),"",$Z65*$W65)</f>
      </c>
      <c r="AB65" s="16">
        <f>IF($AA65="","",$AA65/$R65)</f>
      </c>
      <c r="AC65" s="17">
        <f>IF($T65="","",$T65-$R65)</f>
      </c>
      <c r="AD65" s="3">
        <f>IF($A65="","",IF($Q65="Unknown line","Line not on Lines",IF($S65="","Supplier not on Suppliers",IF($F65="","No price",IF($W65="","Exchange rate missing — left out","OK")))))</f>
      </c>
      <c r="AE65" s="17">
        <f>IF($AB65="","",COUNTIFS($A$5:$A$84,$A65,$AB$5:$AB$84,"&lt;"&amp;$AB65)+1)</f>
      </c>
      <c r="AF65" s="3">
        <f>IF($AE65=1,"Best","")</f>
      </c>
      <c r="AG65" s="17">
        <f>IF($T65="","",IF(AND($G65&lt;&gt;"",$H65&lt;&gt;"",$T65&lt;N($G65)),$G65,IF(AND($I65&lt;&gt;"",$J65&lt;&gt;"",$T65&lt;N($I65)),$I65,IF(AND($K65&lt;&gt;"",$L65&lt;&gt;"",$T65&lt;N($K65)),$K65,""))))</f>
      </c>
      <c r="AH65" s="15">
        <f>IF($AG65="","",CEILING($AG65,IF(N($D65)&gt;0,$D65,1))*IF($AG65=$G65,$H65,IF($AG65=$I65,$J65,$L65)))</f>
      </c>
      <c r="AI65" s="3">
        <f>IF($AH65="","",IF($AH65&lt;$V65,"Ordering "&amp;TEXT(CEILING($AG65,IF(N($D65)&gt;0,$D65,1)),"0")&amp;" costs "&amp;TEXT($V65-$AH65,"0.00")&amp;" less in goods",""))</f>
      </c>
      <c r="AJ65" s="3">
        <f>IF($AE65="","",$A65&amp;"#"&amp;$AE65)</f>
      </c>
      <c r="AK65" s="17">
        <f>IF(OR($A65="",$B65=""),0,IF(IFERROR(INDEX(Award!$D$5:$D$34,MATCH($A65,Award!$A$5:$A$34,0))&amp;"","")=$B65,1,0))</f>
      </c>
      <c r="AL65" s="15">
        <f>IF(OR($AK65&lt;&gt;1,$V65=""),"",IFERROR(INDEX(Suppliers!$N$5:$N$12,MATCH($B65,Suppliers!$A$5:$A$12,0))*$V65/INDEX(Suppliers!$L$5:$L$12,MATCH($B65,Suppliers!$A$5:$A$12,0)),0))</f>
      </c>
      <c r="AM65" s="15">
        <f>IF($AL65="","",N($M65)*($V65+IF(Setup!$B$4="Yes",$AL65,0)))</f>
      </c>
      <c r="AN65" s="15">
        <f>IF(OR($AL65="",$W65=""),"",($V65+$AL65+$AM65)*$W65)</f>
      </c>
    </row>
    <row r="66">
      <c r="A66" s="13"/>
      <c r="B66" s="6"/>
      <c r="C66" s="13"/>
      <c r="D66" s="13"/>
      <c r="E66" s="13"/>
      <c r="F66" s="22"/>
      <c r="G66" s="13"/>
      <c r="H66" s="22"/>
      <c r="I66" s="13"/>
      <c r="J66" s="22"/>
      <c r="K66" s="13"/>
      <c r="L66" s="22"/>
      <c r="M66" s="14"/>
      <c r="N66" s="13"/>
      <c r="O66" s="7"/>
      <c r="P66" s="6"/>
      <c r="Q66" s="3">
        <f>IF($A66="","",IFERROR(INDEX(Lines!$B$5:$B$34,MATCH($A66,Lines!$A$5:$A$34,0)),"Unknown line"))</f>
      </c>
      <c r="R66" s="17">
        <f>IF($A66="","",IFERROR(INDEX(Lines!$D$5:$D$34,MATCH($A66,Lines!$A$5:$A$34,0)),""))</f>
      </c>
      <c r="S66" s="3">
        <f>IF($B66="","",IFERROR(INDEX(Suppliers!$B$5:$B$12,MATCH($B66,Suppliers!$A$5:$A$12,0))&amp;"",""))</f>
      </c>
      <c r="T66" s="17">
        <f>IF(OR(N($R66)&lt;=0,$F66=""),"",CEILING(MAX($R66,N($C66),N($E66)),IF(N($D66)&gt;0,$D66,1)))</f>
      </c>
      <c r="U66" s="16">
        <f>IF($T66="","",IF(AND($K66&lt;&gt;"",$L66&lt;&gt;"",$T66&gt;=N($K66)),$L66,IF(AND($I66&lt;&gt;"",$J66&lt;&gt;"",$T66&gt;=N($I66)),$J66,IF(AND($G66&lt;&gt;"",$H66&lt;&gt;"",$T66&gt;=N($G66)),$H66,$F66))))</f>
      </c>
      <c r="V66" s="15">
        <f>IF($T66="","",$T66*$U66)</f>
      </c>
      <c r="W66" s="16">
        <f>IF($S66="","",IF($S66=Setup!$B$3,1,IFERROR(IF(N(INDEX(Setup!$B$8:$B$17,MATCH($S66,Setup!$A$8:$A$17,0)))&gt;0,INDEX(Setup!$B$8:$B$17,MATCH($S66,Setup!$A$8:$A$17,0)),""),"")))</f>
      </c>
      <c r="X66" s="15">
        <f>IF($V66="","",IFERROR(INDEX(Suppliers!$K$5:$K$12,MATCH($B66,Suppliers!$A$5:$A$12,0))*$V66/INDEX(Suppliers!$I$5:$I$12,MATCH($B66,Suppliers!$A$5:$A$12,0)),0))</f>
      </c>
      <c r="Y66" s="15">
        <f>IF($V66="","",N($M66)*($V66+IF(Setup!$B$4="Yes",$X66,0)))</f>
      </c>
      <c r="Z66" s="15">
        <f>IF($V66="","",$V66+$X66+$Y66)</f>
      </c>
      <c r="AA66" s="15">
        <f>IF(OR($Z66="",$W66=""),"",$Z66*$W66)</f>
      </c>
      <c r="AB66" s="16">
        <f>IF($AA66="","",$AA66/$R66)</f>
      </c>
      <c r="AC66" s="17">
        <f>IF($T66="","",$T66-$R66)</f>
      </c>
      <c r="AD66" s="3">
        <f>IF($A66="","",IF($Q66="Unknown line","Line not on Lines",IF($S66="","Supplier not on Suppliers",IF($F66="","No price",IF($W66="","Exchange rate missing — left out","OK")))))</f>
      </c>
      <c r="AE66" s="17">
        <f>IF($AB66="","",COUNTIFS($A$5:$A$84,$A66,$AB$5:$AB$84,"&lt;"&amp;$AB66)+1)</f>
      </c>
      <c r="AF66" s="3">
        <f>IF($AE66=1,"Best","")</f>
      </c>
      <c r="AG66" s="17">
        <f>IF($T66="","",IF(AND($G66&lt;&gt;"",$H66&lt;&gt;"",$T66&lt;N($G66)),$G66,IF(AND($I66&lt;&gt;"",$J66&lt;&gt;"",$T66&lt;N($I66)),$I66,IF(AND($K66&lt;&gt;"",$L66&lt;&gt;"",$T66&lt;N($K66)),$K66,""))))</f>
      </c>
      <c r="AH66" s="15">
        <f>IF($AG66="","",CEILING($AG66,IF(N($D66)&gt;0,$D66,1))*IF($AG66=$G66,$H66,IF($AG66=$I66,$J66,$L66)))</f>
      </c>
      <c r="AI66" s="3">
        <f>IF($AH66="","",IF($AH66&lt;$V66,"Ordering "&amp;TEXT(CEILING($AG66,IF(N($D66)&gt;0,$D66,1)),"0")&amp;" costs "&amp;TEXT($V66-$AH66,"0.00")&amp;" less in goods",""))</f>
      </c>
      <c r="AJ66" s="3">
        <f>IF($AE66="","",$A66&amp;"#"&amp;$AE66)</f>
      </c>
      <c r="AK66" s="17">
        <f>IF(OR($A66="",$B66=""),0,IF(IFERROR(INDEX(Award!$D$5:$D$34,MATCH($A66,Award!$A$5:$A$34,0))&amp;"","")=$B66,1,0))</f>
      </c>
      <c r="AL66" s="15">
        <f>IF(OR($AK66&lt;&gt;1,$V66=""),"",IFERROR(INDEX(Suppliers!$N$5:$N$12,MATCH($B66,Suppliers!$A$5:$A$12,0))*$V66/INDEX(Suppliers!$L$5:$L$12,MATCH($B66,Suppliers!$A$5:$A$12,0)),0))</f>
      </c>
      <c r="AM66" s="15">
        <f>IF($AL66="","",N($M66)*($V66+IF(Setup!$B$4="Yes",$AL66,0)))</f>
      </c>
      <c r="AN66" s="15">
        <f>IF(OR($AL66="",$W66=""),"",($V66+$AL66+$AM66)*$W66)</f>
      </c>
    </row>
    <row r="67">
      <c r="A67" s="13"/>
      <c r="B67" s="6"/>
      <c r="C67" s="13"/>
      <c r="D67" s="13"/>
      <c r="E67" s="13"/>
      <c r="F67" s="22"/>
      <c r="G67" s="13"/>
      <c r="H67" s="22"/>
      <c r="I67" s="13"/>
      <c r="J67" s="22"/>
      <c r="K67" s="13"/>
      <c r="L67" s="22"/>
      <c r="M67" s="14"/>
      <c r="N67" s="13"/>
      <c r="O67" s="7"/>
      <c r="P67" s="6"/>
      <c r="Q67" s="3">
        <f>IF($A67="","",IFERROR(INDEX(Lines!$B$5:$B$34,MATCH($A67,Lines!$A$5:$A$34,0)),"Unknown line"))</f>
      </c>
      <c r="R67" s="17">
        <f>IF($A67="","",IFERROR(INDEX(Lines!$D$5:$D$34,MATCH($A67,Lines!$A$5:$A$34,0)),""))</f>
      </c>
      <c r="S67" s="3">
        <f>IF($B67="","",IFERROR(INDEX(Suppliers!$B$5:$B$12,MATCH($B67,Suppliers!$A$5:$A$12,0))&amp;"",""))</f>
      </c>
      <c r="T67" s="17">
        <f>IF(OR(N($R67)&lt;=0,$F67=""),"",CEILING(MAX($R67,N($C67),N($E67)),IF(N($D67)&gt;0,$D67,1)))</f>
      </c>
      <c r="U67" s="16">
        <f>IF($T67="","",IF(AND($K67&lt;&gt;"",$L67&lt;&gt;"",$T67&gt;=N($K67)),$L67,IF(AND($I67&lt;&gt;"",$J67&lt;&gt;"",$T67&gt;=N($I67)),$J67,IF(AND($G67&lt;&gt;"",$H67&lt;&gt;"",$T67&gt;=N($G67)),$H67,$F67))))</f>
      </c>
      <c r="V67" s="15">
        <f>IF($T67="","",$T67*$U67)</f>
      </c>
      <c r="W67" s="16">
        <f>IF($S67="","",IF($S67=Setup!$B$3,1,IFERROR(IF(N(INDEX(Setup!$B$8:$B$17,MATCH($S67,Setup!$A$8:$A$17,0)))&gt;0,INDEX(Setup!$B$8:$B$17,MATCH($S67,Setup!$A$8:$A$17,0)),""),"")))</f>
      </c>
      <c r="X67" s="15">
        <f>IF($V67="","",IFERROR(INDEX(Suppliers!$K$5:$K$12,MATCH($B67,Suppliers!$A$5:$A$12,0))*$V67/INDEX(Suppliers!$I$5:$I$12,MATCH($B67,Suppliers!$A$5:$A$12,0)),0))</f>
      </c>
      <c r="Y67" s="15">
        <f>IF($V67="","",N($M67)*($V67+IF(Setup!$B$4="Yes",$X67,0)))</f>
      </c>
      <c r="Z67" s="15">
        <f>IF($V67="","",$V67+$X67+$Y67)</f>
      </c>
      <c r="AA67" s="15">
        <f>IF(OR($Z67="",$W67=""),"",$Z67*$W67)</f>
      </c>
      <c r="AB67" s="16">
        <f>IF($AA67="","",$AA67/$R67)</f>
      </c>
      <c r="AC67" s="17">
        <f>IF($T67="","",$T67-$R67)</f>
      </c>
      <c r="AD67" s="3">
        <f>IF($A67="","",IF($Q67="Unknown line","Line not on Lines",IF($S67="","Supplier not on Suppliers",IF($F67="","No price",IF($W67="","Exchange rate missing — left out","OK")))))</f>
      </c>
      <c r="AE67" s="17">
        <f>IF($AB67="","",COUNTIFS($A$5:$A$84,$A67,$AB$5:$AB$84,"&lt;"&amp;$AB67)+1)</f>
      </c>
      <c r="AF67" s="3">
        <f>IF($AE67=1,"Best","")</f>
      </c>
      <c r="AG67" s="17">
        <f>IF($T67="","",IF(AND($G67&lt;&gt;"",$H67&lt;&gt;"",$T67&lt;N($G67)),$G67,IF(AND($I67&lt;&gt;"",$J67&lt;&gt;"",$T67&lt;N($I67)),$I67,IF(AND($K67&lt;&gt;"",$L67&lt;&gt;"",$T67&lt;N($K67)),$K67,""))))</f>
      </c>
      <c r="AH67" s="15">
        <f>IF($AG67="","",CEILING($AG67,IF(N($D67)&gt;0,$D67,1))*IF($AG67=$G67,$H67,IF($AG67=$I67,$J67,$L67)))</f>
      </c>
      <c r="AI67" s="3">
        <f>IF($AH67="","",IF($AH67&lt;$V67,"Ordering "&amp;TEXT(CEILING($AG67,IF(N($D67)&gt;0,$D67,1)),"0")&amp;" costs "&amp;TEXT($V67-$AH67,"0.00")&amp;" less in goods",""))</f>
      </c>
      <c r="AJ67" s="3">
        <f>IF($AE67="","",$A67&amp;"#"&amp;$AE67)</f>
      </c>
      <c r="AK67" s="17">
        <f>IF(OR($A67="",$B67=""),0,IF(IFERROR(INDEX(Award!$D$5:$D$34,MATCH($A67,Award!$A$5:$A$34,0))&amp;"","")=$B67,1,0))</f>
      </c>
      <c r="AL67" s="15">
        <f>IF(OR($AK67&lt;&gt;1,$V67=""),"",IFERROR(INDEX(Suppliers!$N$5:$N$12,MATCH($B67,Suppliers!$A$5:$A$12,0))*$V67/INDEX(Suppliers!$L$5:$L$12,MATCH($B67,Suppliers!$A$5:$A$12,0)),0))</f>
      </c>
      <c r="AM67" s="15">
        <f>IF($AL67="","",N($M67)*($V67+IF(Setup!$B$4="Yes",$AL67,0)))</f>
      </c>
      <c r="AN67" s="15">
        <f>IF(OR($AL67="",$W67=""),"",($V67+$AL67+$AM67)*$W67)</f>
      </c>
    </row>
    <row r="68">
      <c r="A68" s="13"/>
      <c r="B68" s="6"/>
      <c r="C68" s="13"/>
      <c r="D68" s="13"/>
      <c r="E68" s="13"/>
      <c r="F68" s="22"/>
      <c r="G68" s="13"/>
      <c r="H68" s="22"/>
      <c r="I68" s="13"/>
      <c r="J68" s="22"/>
      <c r="K68" s="13"/>
      <c r="L68" s="22"/>
      <c r="M68" s="14"/>
      <c r="N68" s="13"/>
      <c r="O68" s="7"/>
      <c r="P68" s="6"/>
      <c r="Q68" s="3">
        <f>IF($A68="","",IFERROR(INDEX(Lines!$B$5:$B$34,MATCH($A68,Lines!$A$5:$A$34,0)),"Unknown line"))</f>
      </c>
      <c r="R68" s="17">
        <f>IF($A68="","",IFERROR(INDEX(Lines!$D$5:$D$34,MATCH($A68,Lines!$A$5:$A$34,0)),""))</f>
      </c>
      <c r="S68" s="3">
        <f>IF($B68="","",IFERROR(INDEX(Suppliers!$B$5:$B$12,MATCH($B68,Suppliers!$A$5:$A$12,0))&amp;"",""))</f>
      </c>
      <c r="T68" s="17">
        <f>IF(OR(N($R68)&lt;=0,$F68=""),"",CEILING(MAX($R68,N($C68),N($E68)),IF(N($D68)&gt;0,$D68,1)))</f>
      </c>
      <c r="U68" s="16">
        <f>IF($T68="","",IF(AND($K68&lt;&gt;"",$L68&lt;&gt;"",$T68&gt;=N($K68)),$L68,IF(AND($I68&lt;&gt;"",$J68&lt;&gt;"",$T68&gt;=N($I68)),$J68,IF(AND($G68&lt;&gt;"",$H68&lt;&gt;"",$T68&gt;=N($G68)),$H68,$F68))))</f>
      </c>
      <c r="V68" s="15">
        <f>IF($T68="","",$T68*$U68)</f>
      </c>
      <c r="W68" s="16">
        <f>IF($S68="","",IF($S68=Setup!$B$3,1,IFERROR(IF(N(INDEX(Setup!$B$8:$B$17,MATCH($S68,Setup!$A$8:$A$17,0)))&gt;0,INDEX(Setup!$B$8:$B$17,MATCH($S68,Setup!$A$8:$A$17,0)),""),"")))</f>
      </c>
      <c r="X68" s="15">
        <f>IF($V68="","",IFERROR(INDEX(Suppliers!$K$5:$K$12,MATCH($B68,Suppliers!$A$5:$A$12,0))*$V68/INDEX(Suppliers!$I$5:$I$12,MATCH($B68,Suppliers!$A$5:$A$12,0)),0))</f>
      </c>
      <c r="Y68" s="15">
        <f>IF($V68="","",N($M68)*($V68+IF(Setup!$B$4="Yes",$X68,0)))</f>
      </c>
      <c r="Z68" s="15">
        <f>IF($V68="","",$V68+$X68+$Y68)</f>
      </c>
      <c r="AA68" s="15">
        <f>IF(OR($Z68="",$W68=""),"",$Z68*$W68)</f>
      </c>
      <c r="AB68" s="16">
        <f>IF($AA68="","",$AA68/$R68)</f>
      </c>
      <c r="AC68" s="17">
        <f>IF($T68="","",$T68-$R68)</f>
      </c>
      <c r="AD68" s="3">
        <f>IF($A68="","",IF($Q68="Unknown line","Line not on Lines",IF($S68="","Supplier not on Suppliers",IF($F68="","No price",IF($W68="","Exchange rate missing — left out","OK")))))</f>
      </c>
      <c r="AE68" s="17">
        <f>IF($AB68="","",COUNTIFS($A$5:$A$84,$A68,$AB$5:$AB$84,"&lt;"&amp;$AB68)+1)</f>
      </c>
      <c r="AF68" s="3">
        <f>IF($AE68=1,"Best","")</f>
      </c>
      <c r="AG68" s="17">
        <f>IF($T68="","",IF(AND($G68&lt;&gt;"",$H68&lt;&gt;"",$T68&lt;N($G68)),$G68,IF(AND($I68&lt;&gt;"",$J68&lt;&gt;"",$T68&lt;N($I68)),$I68,IF(AND($K68&lt;&gt;"",$L68&lt;&gt;"",$T68&lt;N($K68)),$K68,""))))</f>
      </c>
      <c r="AH68" s="15">
        <f>IF($AG68="","",CEILING($AG68,IF(N($D68)&gt;0,$D68,1))*IF($AG68=$G68,$H68,IF($AG68=$I68,$J68,$L68)))</f>
      </c>
      <c r="AI68" s="3">
        <f>IF($AH68="","",IF($AH68&lt;$V68,"Ordering "&amp;TEXT(CEILING($AG68,IF(N($D68)&gt;0,$D68,1)),"0")&amp;" costs "&amp;TEXT($V68-$AH68,"0.00")&amp;" less in goods",""))</f>
      </c>
      <c r="AJ68" s="3">
        <f>IF($AE68="","",$A68&amp;"#"&amp;$AE68)</f>
      </c>
      <c r="AK68" s="17">
        <f>IF(OR($A68="",$B68=""),0,IF(IFERROR(INDEX(Award!$D$5:$D$34,MATCH($A68,Award!$A$5:$A$34,0))&amp;"","")=$B68,1,0))</f>
      </c>
      <c r="AL68" s="15">
        <f>IF(OR($AK68&lt;&gt;1,$V68=""),"",IFERROR(INDEX(Suppliers!$N$5:$N$12,MATCH($B68,Suppliers!$A$5:$A$12,0))*$V68/INDEX(Suppliers!$L$5:$L$12,MATCH($B68,Suppliers!$A$5:$A$12,0)),0))</f>
      </c>
      <c r="AM68" s="15">
        <f>IF($AL68="","",N($M68)*($V68+IF(Setup!$B$4="Yes",$AL68,0)))</f>
      </c>
      <c r="AN68" s="15">
        <f>IF(OR($AL68="",$W68=""),"",($V68+$AL68+$AM68)*$W68)</f>
      </c>
    </row>
    <row r="69">
      <c r="A69" s="13"/>
      <c r="B69" s="6"/>
      <c r="C69" s="13"/>
      <c r="D69" s="13"/>
      <c r="E69" s="13"/>
      <c r="F69" s="22"/>
      <c r="G69" s="13"/>
      <c r="H69" s="22"/>
      <c r="I69" s="13"/>
      <c r="J69" s="22"/>
      <c r="K69" s="13"/>
      <c r="L69" s="22"/>
      <c r="M69" s="14"/>
      <c r="N69" s="13"/>
      <c r="O69" s="7"/>
      <c r="P69" s="6"/>
      <c r="Q69" s="3">
        <f>IF($A69="","",IFERROR(INDEX(Lines!$B$5:$B$34,MATCH($A69,Lines!$A$5:$A$34,0)),"Unknown line"))</f>
      </c>
      <c r="R69" s="17">
        <f>IF($A69="","",IFERROR(INDEX(Lines!$D$5:$D$34,MATCH($A69,Lines!$A$5:$A$34,0)),""))</f>
      </c>
      <c r="S69" s="3">
        <f>IF($B69="","",IFERROR(INDEX(Suppliers!$B$5:$B$12,MATCH($B69,Suppliers!$A$5:$A$12,0))&amp;"",""))</f>
      </c>
      <c r="T69" s="17">
        <f>IF(OR(N($R69)&lt;=0,$F69=""),"",CEILING(MAX($R69,N($C69),N($E69)),IF(N($D69)&gt;0,$D69,1)))</f>
      </c>
      <c r="U69" s="16">
        <f>IF($T69="","",IF(AND($K69&lt;&gt;"",$L69&lt;&gt;"",$T69&gt;=N($K69)),$L69,IF(AND($I69&lt;&gt;"",$J69&lt;&gt;"",$T69&gt;=N($I69)),$J69,IF(AND($G69&lt;&gt;"",$H69&lt;&gt;"",$T69&gt;=N($G69)),$H69,$F69))))</f>
      </c>
      <c r="V69" s="15">
        <f>IF($T69="","",$T69*$U69)</f>
      </c>
      <c r="W69" s="16">
        <f>IF($S69="","",IF($S69=Setup!$B$3,1,IFERROR(IF(N(INDEX(Setup!$B$8:$B$17,MATCH($S69,Setup!$A$8:$A$17,0)))&gt;0,INDEX(Setup!$B$8:$B$17,MATCH($S69,Setup!$A$8:$A$17,0)),""),"")))</f>
      </c>
      <c r="X69" s="15">
        <f>IF($V69="","",IFERROR(INDEX(Suppliers!$K$5:$K$12,MATCH($B69,Suppliers!$A$5:$A$12,0))*$V69/INDEX(Suppliers!$I$5:$I$12,MATCH($B69,Suppliers!$A$5:$A$12,0)),0))</f>
      </c>
      <c r="Y69" s="15">
        <f>IF($V69="","",N($M69)*($V69+IF(Setup!$B$4="Yes",$X69,0)))</f>
      </c>
      <c r="Z69" s="15">
        <f>IF($V69="","",$V69+$X69+$Y69)</f>
      </c>
      <c r="AA69" s="15">
        <f>IF(OR($Z69="",$W69=""),"",$Z69*$W69)</f>
      </c>
      <c r="AB69" s="16">
        <f>IF($AA69="","",$AA69/$R69)</f>
      </c>
      <c r="AC69" s="17">
        <f>IF($T69="","",$T69-$R69)</f>
      </c>
      <c r="AD69" s="3">
        <f>IF($A69="","",IF($Q69="Unknown line","Line not on Lines",IF($S69="","Supplier not on Suppliers",IF($F69="","No price",IF($W69="","Exchange rate missing — left out","OK")))))</f>
      </c>
      <c r="AE69" s="17">
        <f>IF($AB69="","",COUNTIFS($A$5:$A$84,$A69,$AB$5:$AB$84,"&lt;"&amp;$AB69)+1)</f>
      </c>
      <c r="AF69" s="3">
        <f>IF($AE69=1,"Best","")</f>
      </c>
      <c r="AG69" s="17">
        <f>IF($T69="","",IF(AND($G69&lt;&gt;"",$H69&lt;&gt;"",$T69&lt;N($G69)),$G69,IF(AND($I69&lt;&gt;"",$J69&lt;&gt;"",$T69&lt;N($I69)),$I69,IF(AND($K69&lt;&gt;"",$L69&lt;&gt;"",$T69&lt;N($K69)),$K69,""))))</f>
      </c>
      <c r="AH69" s="15">
        <f>IF($AG69="","",CEILING($AG69,IF(N($D69)&gt;0,$D69,1))*IF($AG69=$G69,$H69,IF($AG69=$I69,$J69,$L69)))</f>
      </c>
      <c r="AI69" s="3">
        <f>IF($AH69="","",IF($AH69&lt;$V69,"Ordering "&amp;TEXT(CEILING($AG69,IF(N($D69)&gt;0,$D69,1)),"0")&amp;" costs "&amp;TEXT($V69-$AH69,"0.00")&amp;" less in goods",""))</f>
      </c>
      <c r="AJ69" s="3">
        <f>IF($AE69="","",$A69&amp;"#"&amp;$AE69)</f>
      </c>
      <c r="AK69" s="17">
        <f>IF(OR($A69="",$B69=""),0,IF(IFERROR(INDEX(Award!$D$5:$D$34,MATCH($A69,Award!$A$5:$A$34,0))&amp;"","")=$B69,1,0))</f>
      </c>
      <c r="AL69" s="15">
        <f>IF(OR($AK69&lt;&gt;1,$V69=""),"",IFERROR(INDEX(Suppliers!$N$5:$N$12,MATCH($B69,Suppliers!$A$5:$A$12,0))*$V69/INDEX(Suppliers!$L$5:$L$12,MATCH($B69,Suppliers!$A$5:$A$12,0)),0))</f>
      </c>
      <c r="AM69" s="15">
        <f>IF($AL69="","",N($M69)*($V69+IF(Setup!$B$4="Yes",$AL69,0)))</f>
      </c>
      <c r="AN69" s="15">
        <f>IF(OR($AL69="",$W69=""),"",($V69+$AL69+$AM69)*$W69)</f>
      </c>
    </row>
    <row r="70">
      <c r="A70" s="13"/>
      <c r="B70" s="6"/>
      <c r="C70" s="13"/>
      <c r="D70" s="13"/>
      <c r="E70" s="13"/>
      <c r="F70" s="22"/>
      <c r="G70" s="13"/>
      <c r="H70" s="22"/>
      <c r="I70" s="13"/>
      <c r="J70" s="22"/>
      <c r="K70" s="13"/>
      <c r="L70" s="22"/>
      <c r="M70" s="14"/>
      <c r="N70" s="13"/>
      <c r="O70" s="7"/>
      <c r="P70" s="6"/>
      <c r="Q70" s="3">
        <f>IF($A70="","",IFERROR(INDEX(Lines!$B$5:$B$34,MATCH($A70,Lines!$A$5:$A$34,0)),"Unknown line"))</f>
      </c>
      <c r="R70" s="17">
        <f>IF($A70="","",IFERROR(INDEX(Lines!$D$5:$D$34,MATCH($A70,Lines!$A$5:$A$34,0)),""))</f>
      </c>
      <c r="S70" s="3">
        <f>IF($B70="","",IFERROR(INDEX(Suppliers!$B$5:$B$12,MATCH($B70,Suppliers!$A$5:$A$12,0))&amp;"",""))</f>
      </c>
      <c r="T70" s="17">
        <f>IF(OR(N($R70)&lt;=0,$F70=""),"",CEILING(MAX($R70,N($C70),N($E70)),IF(N($D70)&gt;0,$D70,1)))</f>
      </c>
      <c r="U70" s="16">
        <f>IF($T70="","",IF(AND($K70&lt;&gt;"",$L70&lt;&gt;"",$T70&gt;=N($K70)),$L70,IF(AND($I70&lt;&gt;"",$J70&lt;&gt;"",$T70&gt;=N($I70)),$J70,IF(AND($G70&lt;&gt;"",$H70&lt;&gt;"",$T70&gt;=N($G70)),$H70,$F70))))</f>
      </c>
      <c r="V70" s="15">
        <f>IF($T70="","",$T70*$U70)</f>
      </c>
      <c r="W70" s="16">
        <f>IF($S70="","",IF($S70=Setup!$B$3,1,IFERROR(IF(N(INDEX(Setup!$B$8:$B$17,MATCH($S70,Setup!$A$8:$A$17,0)))&gt;0,INDEX(Setup!$B$8:$B$17,MATCH($S70,Setup!$A$8:$A$17,0)),""),"")))</f>
      </c>
      <c r="X70" s="15">
        <f>IF($V70="","",IFERROR(INDEX(Suppliers!$K$5:$K$12,MATCH($B70,Suppliers!$A$5:$A$12,0))*$V70/INDEX(Suppliers!$I$5:$I$12,MATCH($B70,Suppliers!$A$5:$A$12,0)),0))</f>
      </c>
      <c r="Y70" s="15">
        <f>IF($V70="","",N($M70)*($V70+IF(Setup!$B$4="Yes",$X70,0)))</f>
      </c>
      <c r="Z70" s="15">
        <f>IF($V70="","",$V70+$X70+$Y70)</f>
      </c>
      <c r="AA70" s="15">
        <f>IF(OR($Z70="",$W70=""),"",$Z70*$W70)</f>
      </c>
      <c r="AB70" s="16">
        <f>IF($AA70="","",$AA70/$R70)</f>
      </c>
      <c r="AC70" s="17">
        <f>IF($T70="","",$T70-$R70)</f>
      </c>
      <c r="AD70" s="3">
        <f>IF($A70="","",IF($Q70="Unknown line","Line not on Lines",IF($S70="","Supplier not on Suppliers",IF($F70="","No price",IF($W70="","Exchange rate missing — left out","OK")))))</f>
      </c>
      <c r="AE70" s="17">
        <f>IF($AB70="","",COUNTIFS($A$5:$A$84,$A70,$AB$5:$AB$84,"&lt;"&amp;$AB70)+1)</f>
      </c>
      <c r="AF70" s="3">
        <f>IF($AE70=1,"Best","")</f>
      </c>
      <c r="AG70" s="17">
        <f>IF($T70="","",IF(AND($G70&lt;&gt;"",$H70&lt;&gt;"",$T70&lt;N($G70)),$G70,IF(AND($I70&lt;&gt;"",$J70&lt;&gt;"",$T70&lt;N($I70)),$I70,IF(AND($K70&lt;&gt;"",$L70&lt;&gt;"",$T70&lt;N($K70)),$K70,""))))</f>
      </c>
      <c r="AH70" s="15">
        <f>IF($AG70="","",CEILING($AG70,IF(N($D70)&gt;0,$D70,1))*IF($AG70=$G70,$H70,IF($AG70=$I70,$J70,$L70)))</f>
      </c>
      <c r="AI70" s="3">
        <f>IF($AH70="","",IF($AH70&lt;$V70,"Ordering "&amp;TEXT(CEILING($AG70,IF(N($D70)&gt;0,$D70,1)),"0")&amp;" costs "&amp;TEXT($V70-$AH70,"0.00")&amp;" less in goods",""))</f>
      </c>
      <c r="AJ70" s="3">
        <f>IF($AE70="","",$A70&amp;"#"&amp;$AE70)</f>
      </c>
      <c r="AK70" s="17">
        <f>IF(OR($A70="",$B70=""),0,IF(IFERROR(INDEX(Award!$D$5:$D$34,MATCH($A70,Award!$A$5:$A$34,0))&amp;"","")=$B70,1,0))</f>
      </c>
      <c r="AL70" s="15">
        <f>IF(OR($AK70&lt;&gt;1,$V70=""),"",IFERROR(INDEX(Suppliers!$N$5:$N$12,MATCH($B70,Suppliers!$A$5:$A$12,0))*$V70/INDEX(Suppliers!$L$5:$L$12,MATCH($B70,Suppliers!$A$5:$A$12,0)),0))</f>
      </c>
      <c r="AM70" s="15">
        <f>IF($AL70="","",N($M70)*($V70+IF(Setup!$B$4="Yes",$AL70,0)))</f>
      </c>
      <c r="AN70" s="15">
        <f>IF(OR($AL70="",$W70=""),"",($V70+$AL70+$AM70)*$W70)</f>
      </c>
    </row>
    <row r="71">
      <c r="A71" s="13"/>
      <c r="B71" s="6"/>
      <c r="C71" s="13"/>
      <c r="D71" s="13"/>
      <c r="E71" s="13"/>
      <c r="F71" s="22"/>
      <c r="G71" s="13"/>
      <c r="H71" s="22"/>
      <c r="I71" s="13"/>
      <c r="J71" s="22"/>
      <c r="K71" s="13"/>
      <c r="L71" s="22"/>
      <c r="M71" s="14"/>
      <c r="N71" s="13"/>
      <c r="O71" s="7"/>
      <c r="P71" s="6"/>
      <c r="Q71" s="3">
        <f>IF($A71="","",IFERROR(INDEX(Lines!$B$5:$B$34,MATCH($A71,Lines!$A$5:$A$34,0)),"Unknown line"))</f>
      </c>
      <c r="R71" s="17">
        <f>IF($A71="","",IFERROR(INDEX(Lines!$D$5:$D$34,MATCH($A71,Lines!$A$5:$A$34,0)),""))</f>
      </c>
      <c r="S71" s="3">
        <f>IF($B71="","",IFERROR(INDEX(Suppliers!$B$5:$B$12,MATCH($B71,Suppliers!$A$5:$A$12,0))&amp;"",""))</f>
      </c>
      <c r="T71" s="17">
        <f>IF(OR(N($R71)&lt;=0,$F71=""),"",CEILING(MAX($R71,N($C71),N($E71)),IF(N($D71)&gt;0,$D71,1)))</f>
      </c>
      <c r="U71" s="16">
        <f>IF($T71="","",IF(AND($K71&lt;&gt;"",$L71&lt;&gt;"",$T71&gt;=N($K71)),$L71,IF(AND($I71&lt;&gt;"",$J71&lt;&gt;"",$T71&gt;=N($I71)),$J71,IF(AND($G71&lt;&gt;"",$H71&lt;&gt;"",$T71&gt;=N($G71)),$H71,$F71))))</f>
      </c>
      <c r="V71" s="15">
        <f>IF($T71="","",$T71*$U71)</f>
      </c>
      <c r="W71" s="16">
        <f>IF($S71="","",IF($S71=Setup!$B$3,1,IFERROR(IF(N(INDEX(Setup!$B$8:$B$17,MATCH($S71,Setup!$A$8:$A$17,0)))&gt;0,INDEX(Setup!$B$8:$B$17,MATCH($S71,Setup!$A$8:$A$17,0)),""),"")))</f>
      </c>
      <c r="X71" s="15">
        <f>IF($V71="","",IFERROR(INDEX(Suppliers!$K$5:$K$12,MATCH($B71,Suppliers!$A$5:$A$12,0))*$V71/INDEX(Suppliers!$I$5:$I$12,MATCH($B71,Suppliers!$A$5:$A$12,0)),0))</f>
      </c>
      <c r="Y71" s="15">
        <f>IF($V71="","",N($M71)*($V71+IF(Setup!$B$4="Yes",$X71,0)))</f>
      </c>
      <c r="Z71" s="15">
        <f>IF($V71="","",$V71+$X71+$Y71)</f>
      </c>
      <c r="AA71" s="15">
        <f>IF(OR($Z71="",$W71=""),"",$Z71*$W71)</f>
      </c>
      <c r="AB71" s="16">
        <f>IF($AA71="","",$AA71/$R71)</f>
      </c>
      <c r="AC71" s="17">
        <f>IF($T71="","",$T71-$R71)</f>
      </c>
      <c r="AD71" s="3">
        <f>IF($A71="","",IF($Q71="Unknown line","Line not on Lines",IF($S71="","Supplier not on Suppliers",IF($F71="","No price",IF($W71="","Exchange rate missing — left out","OK")))))</f>
      </c>
      <c r="AE71" s="17">
        <f>IF($AB71="","",COUNTIFS($A$5:$A$84,$A71,$AB$5:$AB$84,"&lt;"&amp;$AB71)+1)</f>
      </c>
      <c r="AF71" s="3">
        <f>IF($AE71=1,"Best","")</f>
      </c>
      <c r="AG71" s="17">
        <f>IF($T71="","",IF(AND($G71&lt;&gt;"",$H71&lt;&gt;"",$T71&lt;N($G71)),$G71,IF(AND($I71&lt;&gt;"",$J71&lt;&gt;"",$T71&lt;N($I71)),$I71,IF(AND($K71&lt;&gt;"",$L71&lt;&gt;"",$T71&lt;N($K71)),$K71,""))))</f>
      </c>
      <c r="AH71" s="15">
        <f>IF($AG71="","",CEILING($AG71,IF(N($D71)&gt;0,$D71,1))*IF($AG71=$G71,$H71,IF($AG71=$I71,$J71,$L71)))</f>
      </c>
      <c r="AI71" s="3">
        <f>IF($AH71="","",IF($AH71&lt;$V71,"Ordering "&amp;TEXT(CEILING($AG71,IF(N($D71)&gt;0,$D71,1)),"0")&amp;" costs "&amp;TEXT($V71-$AH71,"0.00")&amp;" less in goods",""))</f>
      </c>
      <c r="AJ71" s="3">
        <f>IF($AE71="","",$A71&amp;"#"&amp;$AE71)</f>
      </c>
      <c r="AK71" s="17">
        <f>IF(OR($A71="",$B71=""),0,IF(IFERROR(INDEX(Award!$D$5:$D$34,MATCH($A71,Award!$A$5:$A$34,0))&amp;"","")=$B71,1,0))</f>
      </c>
      <c r="AL71" s="15">
        <f>IF(OR($AK71&lt;&gt;1,$V71=""),"",IFERROR(INDEX(Suppliers!$N$5:$N$12,MATCH($B71,Suppliers!$A$5:$A$12,0))*$V71/INDEX(Suppliers!$L$5:$L$12,MATCH($B71,Suppliers!$A$5:$A$12,0)),0))</f>
      </c>
      <c r="AM71" s="15">
        <f>IF($AL71="","",N($M71)*($V71+IF(Setup!$B$4="Yes",$AL71,0)))</f>
      </c>
      <c r="AN71" s="15">
        <f>IF(OR($AL71="",$W71=""),"",($V71+$AL71+$AM71)*$W71)</f>
      </c>
    </row>
    <row r="72">
      <c r="A72" s="13"/>
      <c r="B72" s="6"/>
      <c r="C72" s="13"/>
      <c r="D72" s="13"/>
      <c r="E72" s="13"/>
      <c r="F72" s="22"/>
      <c r="G72" s="13"/>
      <c r="H72" s="22"/>
      <c r="I72" s="13"/>
      <c r="J72" s="22"/>
      <c r="K72" s="13"/>
      <c r="L72" s="22"/>
      <c r="M72" s="14"/>
      <c r="N72" s="13"/>
      <c r="O72" s="7"/>
      <c r="P72" s="6"/>
      <c r="Q72" s="3">
        <f>IF($A72="","",IFERROR(INDEX(Lines!$B$5:$B$34,MATCH($A72,Lines!$A$5:$A$34,0)),"Unknown line"))</f>
      </c>
      <c r="R72" s="17">
        <f>IF($A72="","",IFERROR(INDEX(Lines!$D$5:$D$34,MATCH($A72,Lines!$A$5:$A$34,0)),""))</f>
      </c>
      <c r="S72" s="3">
        <f>IF($B72="","",IFERROR(INDEX(Suppliers!$B$5:$B$12,MATCH($B72,Suppliers!$A$5:$A$12,0))&amp;"",""))</f>
      </c>
      <c r="T72" s="17">
        <f>IF(OR(N($R72)&lt;=0,$F72=""),"",CEILING(MAX($R72,N($C72),N($E72)),IF(N($D72)&gt;0,$D72,1)))</f>
      </c>
      <c r="U72" s="16">
        <f>IF($T72="","",IF(AND($K72&lt;&gt;"",$L72&lt;&gt;"",$T72&gt;=N($K72)),$L72,IF(AND($I72&lt;&gt;"",$J72&lt;&gt;"",$T72&gt;=N($I72)),$J72,IF(AND($G72&lt;&gt;"",$H72&lt;&gt;"",$T72&gt;=N($G72)),$H72,$F72))))</f>
      </c>
      <c r="V72" s="15">
        <f>IF($T72="","",$T72*$U72)</f>
      </c>
      <c r="W72" s="16">
        <f>IF($S72="","",IF($S72=Setup!$B$3,1,IFERROR(IF(N(INDEX(Setup!$B$8:$B$17,MATCH($S72,Setup!$A$8:$A$17,0)))&gt;0,INDEX(Setup!$B$8:$B$17,MATCH($S72,Setup!$A$8:$A$17,0)),""),"")))</f>
      </c>
      <c r="X72" s="15">
        <f>IF($V72="","",IFERROR(INDEX(Suppliers!$K$5:$K$12,MATCH($B72,Suppliers!$A$5:$A$12,0))*$V72/INDEX(Suppliers!$I$5:$I$12,MATCH($B72,Suppliers!$A$5:$A$12,0)),0))</f>
      </c>
      <c r="Y72" s="15">
        <f>IF($V72="","",N($M72)*($V72+IF(Setup!$B$4="Yes",$X72,0)))</f>
      </c>
      <c r="Z72" s="15">
        <f>IF($V72="","",$V72+$X72+$Y72)</f>
      </c>
      <c r="AA72" s="15">
        <f>IF(OR($Z72="",$W72=""),"",$Z72*$W72)</f>
      </c>
      <c r="AB72" s="16">
        <f>IF($AA72="","",$AA72/$R72)</f>
      </c>
      <c r="AC72" s="17">
        <f>IF($T72="","",$T72-$R72)</f>
      </c>
      <c r="AD72" s="3">
        <f>IF($A72="","",IF($Q72="Unknown line","Line not on Lines",IF($S72="","Supplier not on Suppliers",IF($F72="","No price",IF($W72="","Exchange rate missing — left out","OK")))))</f>
      </c>
      <c r="AE72" s="17">
        <f>IF($AB72="","",COUNTIFS($A$5:$A$84,$A72,$AB$5:$AB$84,"&lt;"&amp;$AB72)+1)</f>
      </c>
      <c r="AF72" s="3">
        <f>IF($AE72=1,"Best","")</f>
      </c>
      <c r="AG72" s="17">
        <f>IF($T72="","",IF(AND($G72&lt;&gt;"",$H72&lt;&gt;"",$T72&lt;N($G72)),$G72,IF(AND($I72&lt;&gt;"",$J72&lt;&gt;"",$T72&lt;N($I72)),$I72,IF(AND($K72&lt;&gt;"",$L72&lt;&gt;"",$T72&lt;N($K72)),$K72,""))))</f>
      </c>
      <c r="AH72" s="15">
        <f>IF($AG72="","",CEILING($AG72,IF(N($D72)&gt;0,$D72,1))*IF($AG72=$G72,$H72,IF($AG72=$I72,$J72,$L72)))</f>
      </c>
      <c r="AI72" s="3">
        <f>IF($AH72="","",IF($AH72&lt;$V72,"Ordering "&amp;TEXT(CEILING($AG72,IF(N($D72)&gt;0,$D72,1)),"0")&amp;" costs "&amp;TEXT($V72-$AH72,"0.00")&amp;" less in goods",""))</f>
      </c>
      <c r="AJ72" s="3">
        <f>IF($AE72="","",$A72&amp;"#"&amp;$AE72)</f>
      </c>
      <c r="AK72" s="17">
        <f>IF(OR($A72="",$B72=""),0,IF(IFERROR(INDEX(Award!$D$5:$D$34,MATCH($A72,Award!$A$5:$A$34,0))&amp;"","")=$B72,1,0))</f>
      </c>
      <c r="AL72" s="15">
        <f>IF(OR($AK72&lt;&gt;1,$V72=""),"",IFERROR(INDEX(Suppliers!$N$5:$N$12,MATCH($B72,Suppliers!$A$5:$A$12,0))*$V72/INDEX(Suppliers!$L$5:$L$12,MATCH($B72,Suppliers!$A$5:$A$12,0)),0))</f>
      </c>
      <c r="AM72" s="15">
        <f>IF($AL72="","",N($M72)*($V72+IF(Setup!$B$4="Yes",$AL72,0)))</f>
      </c>
      <c r="AN72" s="15">
        <f>IF(OR($AL72="",$W72=""),"",($V72+$AL72+$AM72)*$W72)</f>
      </c>
    </row>
    <row r="73">
      <c r="A73" s="13"/>
      <c r="B73" s="6"/>
      <c r="C73" s="13"/>
      <c r="D73" s="13"/>
      <c r="E73" s="13"/>
      <c r="F73" s="22"/>
      <c r="G73" s="13"/>
      <c r="H73" s="22"/>
      <c r="I73" s="13"/>
      <c r="J73" s="22"/>
      <c r="K73" s="13"/>
      <c r="L73" s="22"/>
      <c r="M73" s="14"/>
      <c r="N73" s="13"/>
      <c r="O73" s="7"/>
      <c r="P73" s="6"/>
      <c r="Q73" s="3">
        <f>IF($A73="","",IFERROR(INDEX(Lines!$B$5:$B$34,MATCH($A73,Lines!$A$5:$A$34,0)),"Unknown line"))</f>
      </c>
      <c r="R73" s="17">
        <f>IF($A73="","",IFERROR(INDEX(Lines!$D$5:$D$34,MATCH($A73,Lines!$A$5:$A$34,0)),""))</f>
      </c>
      <c r="S73" s="3">
        <f>IF($B73="","",IFERROR(INDEX(Suppliers!$B$5:$B$12,MATCH($B73,Suppliers!$A$5:$A$12,0))&amp;"",""))</f>
      </c>
      <c r="T73" s="17">
        <f>IF(OR(N($R73)&lt;=0,$F73=""),"",CEILING(MAX($R73,N($C73),N($E73)),IF(N($D73)&gt;0,$D73,1)))</f>
      </c>
      <c r="U73" s="16">
        <f>IF($T73="","",IF(AND($K73&lt;&gt;"",$L73&lt;&gt;"",$T73&gt;=N($K73)),$L73,IF(AND($I73&lt;&gt;"",$J73&lt;&gt;"",$T73&gt;=N($I73)),$J73,IF(AND($G73&lt;&gt;"",$H73&lt;&gt;"",$T73&gt;=N($G73)),$H73,$F73))))</f>
      </c>
      <c r="V73" s="15">
        <f>IF($T73="","",$T73*$U73)</f>
      </c>
      <c r="W73" s="16">
        <f>IF($S73="","",IF($S73=Setup!$B$3,1,IFERROR(IF(N(INDEX(Setup!$B$8:$B$17,MATCH($S73,Setup!$A$8:$A$17,0)))&gt;0,INDEX(Setup!$B$8:$B$17,MATCH($S73,Setup!$A$8:$A$17,0)),""),"")))</f>
      </c>
      <c r="X73" s="15">
        <f>IF($V73="","",IFERROR(INDEX(Suppliers!$K$5:$K$12,MATCH($B73,Suppliers!$A$5:$A$12,0))*$V73/INDEX(Suppliers!$I$5:$I$12,MATCH($B73,Suppliers!$A$5:$A$12,0)),0))</f>
      </c>
      <c r="Y73" s="15">
        <f>IF($V73="","",N($M73)*($V73+IF(Setup!$B$4="Yes",$X73,0)))</f>
      </c>
      <c r="Z73" s="15">
        <f>IF($V73="","",$V73+$X73+$Y73)</f>
      </c>
      <c r="AA73" s="15">
        <f>IF(OR($Z73="",$W73=""),"",$Z73*$W73)</f>
      </c>
      <c r="AB73" s="16">
        <f>IF($AA73="","",$AA73/$R73)</f>
      </c>
      <c r="AC73" s="17">
        <f>IF($T73="","",$T73-$R73)</f>
      </c>
      <c r="AD73" s="3">
        <f>IF($A73="","",IF($Q73="Unknown line","Line not on Lines",IF($S73="","Supplier not on Suppliers",IF($F73="","No price",IF($W73="","Exchange rate missing — left out","OK")))))</f>
      </c>
      <c r="AE73" s="17">
        <f>IF($AB73="","",COUNTIFS($A$5:$A$84,$A73,$AB$5:$AB$84,"&lt;"&amp;$AB73)+1)</f>
      </c>
      <c r="AF73" s="3">
        <f>IF($AE73=1,"Best","")</f>
      </c>
      <c r="AG73" s="17">
        <f>IF($T73="","",IF(AND($G73&lt;&gt;"",$H73&lt;&gt;"",$T73&lt;N($G73)),$G73,IF(AND($I73&lt;&gt;"",$J73&lt;&gt;"",$T73&lt;N($I73)),$I73,IF(AND($K73&lt;&gt;"",$L73&lt;&gt;"",$T73&lt;N($K73)),$K73,""))))</f>
      </c>
      <c r="AH73" s="15">
        <f>IF($AG73="","",CEILING($AG73,IF(N($D73)&gt;0,$D73,1))*IF($AG73=$G73,$H73,IF($AG73=$I73,$J73,$L73)))</f>
      </c>
      <c r="AI73" s="3">
        <f>IF($AH73="","",IF($AH73&lt;$V73,"Ordering "&amp;TEXT(CEILING($AG73,IF(N($D73)&gt;0,$D73,1)),"0")&amp;" costs "&amp;TEXT($V73-$AH73,"0.00")&amp;" less in goods",""))</f>
      </c>
      <c r="AJ73" s="3">
        <f>IF($AE73="","",$A73&amp;"#"&amp;$AE73)</f>
      </c>
      <c r="AK73" s="17">
        <f>IF(OR($A73="",$B73=""),0,IF(IFERROR(INDEX(Award!$D$5:$D$34,MATCH($A73,Award!$A$5:$A$34,0))&amp;"","")=$B73,1,0))</f>
      </c>
      <c r="AL73" s="15">
        <f>IF(OR($AK73&lt;&gt;1,$V73=""),"",IFERROR(INDEX(Suppliers!$N$5:$N$12,MATCH($B73,Suppliers!$A$5:$A$12,0))*$V73/INDEX(Suppliers!$L$5:$L$12,MATCH($B73,Suppliers!$A$5:$A$12,0)),0))</f>
      </c>
      <c r="AM73" s="15">
        <f>IF($AL73="","",N($M73)*($V73+IF(Setup!$B$4="Yes",$AL73,0)))</f>
      </c>
      <c r="AN73" s="15">
        <f>IF(OR($AL73="",$W73=""),"",($V73+$AL73+$AM73)*$W73)</f>
      </c>
    </row>
    <row r="74">
      <c r="A74" s="13"/>
      <c r="B74" s="6"/>
      <c r="C74" s="13"/>
      <c r="D74" s="13"/>
      <c r="E74" s="13"/>
      <c r="F74" s="22"/>
      <c r="G74" s="13"/>
      <c r="H74" s="22"/>
      <c r="I74" s="13"/>
      <c r="J74" s="22"/>
      <c r="K74" s="13"/>
      <c r="L74" s="22"/>
      <c r="M74" s="14"/>
      <c r="N74" s="13"/>
      <c r="O74" s="7"/>
      <c r="P74" s="6"/>
      <c r="Q74" s="3">
        <f>IF($A74="","",IFERROR(INDEX(Lines!$B$5:$B$34,MATCH($A74,Lines!$A$5:$A$34,0)),"Unknown line"))</f>
      </c>
      <c r="R74" s="17">
        <f>IF($A74="","",IFERROR(INDEX(Lines!$D$5:$D$34,MATCH($A74,Lines!$A$5:$A$34,0)),""))</f>
      </c>
      <c r="S74" s="3">
        <f>IF($B74="","",IFERROR(INDEX(Suppliers!$B$5:$B$12,MATCH($B74,Suppliers!$A$5:$A$12,0))&amp;"",""))</f>
      </c>
      <c r="T74" s="17">
        <f>IF(OR(N($R74)&lt;=0,$F74=""),"",CEILING(MAX($R74,N($C74),N($E74)),IF(N($D74)&gt;0,$D74,1)))</f>
      </c>
      <c r="U74" s="16">
        <f>IF($T74="","",IF(AND($K74&lt;&gt;"",$L74&lt;&gt;"",$T74&gt;=N($K74)),$L74,IF(AND($I74&lt;&gt;"",$J74&lt;&gt;"",$T74&gt;=N($I74)),$J74,IF(AND($G74&lt;&gt;"",$H74&lt;&gt;"",$T74&gt;=N($G74)),$H74,$F74))))</f>
      </c>
      <c r="V74" s="15">
        <f>IF($T74="","",$T74*$U74)</f>
      </c>
      <c r="W74" s="16">
        <f>IF($S74="","",IF($S74=Setup!$B$3,1,IFERROR(IF(N(INDEX(Setup!$B$8:$B$17,MATCH($S74,Setup!$A$8:$A$17,0)))&gt;0,INDEX(Setup!$B$8:$B$17,MATCH($S74,Setup!$A$8:$A$17,0)),""),"")))</f>
      </c>
      <c r="X74" s="15">
        <f>IF($V74="","",IFERROR(INDEX(Suppliers!$K$5:$K$12,MATCH($B74,Suppliers!$A$5:$A$12,0))*$V74/INDEX(Suppliers!$I$5:$I$12,MATCH($B74,Suppliers!$A$5:$A$12,0)),0))</f>
      </c>
      <c r="Y74" s="15">
        <f>IF($V74="","",N($M74)*($V74+IF(Setup!$B$4="Yes",$X74,0)))</f>
      </c>
      <c r="Z74" s="15">
        <f>IF($V74="","",$V74+$X74+$Y74)</f>
      </c>
      <c r="AA74" s="15">
        <f>IF(OR($Z74="",$W74=""),"",$Z74*$W74)</f>
      </c>
      <c r="AB74" s="16">
        <f>IF($AA74="","",$AA74/$R74)</f>
      </c>
      <c r="AC74" s="17">
        <f>IF($T74="","",$T74-$R74)</f>
      </c>
      <c r="AD74" s="3">
        <f>IF($A74="","",IF($Q74="Unknown line","Line not on Lines",IF($S74="","Supplier not on Suppliers",IF($F74="","No price",IF($W74="","Exchange rate missing — left out","OK")))))</f>
      </c>
      <c r="AE74" s="17">
        <f>IF($AB74="","",COUNTIFS($A$5:$A$84,$A74,$AB$5:$AB$84,"&lt;"&amp;$AB74)+1)</f>
      </c>
      <c r="AF74" s="3">
        <f>IF($AE74=1,"Best","")</f>
      </c>
      <c r="AG74" s="17">
        <f>IF($T74="","",IF(AND($G74&lt;&gt;"",$H74&lt;&gt;"",$T74&lt;N($G74)),$G74,IF(AND($I74&lt;&gt;"",$J74&lt;&gt;"",$T74&lt;N($I74)),$I74,IF(AND($K74&lt;&gt;"",$L74&lt;&gt;"",$T74&lt;N($K74)),$K74,""))))</f>
      </c>
      <c r="AH74" s="15">
        <f>IF($AG74="","",CEILING($AG74,IF(N($D74)&gt;0,$D74,1))*IF($AG74=$G74,$H74,IF($AG74=$I74,$J74,$L74)))</f>
      </c>
      <c r="AI74" s="3">
        <f>IF($AH74="","",IF($AH74&lt;$V74,"Ordering "&amp;TEXT(CEILING($AG74,IF(N($D74)&gt;0,$D74,1)),"0")&amp;" costs "&amp;TEXT($V74-$AH74,"0.00")&amp;" less in goods",""))</f>
      </c>
      <c r="AJ74" s="3">
        <f>IF($AE74="","",$A74&amp;"#"&amp;$AE74)</f>
      </c>
      <c r="AK74" s="17">
        <f>IF(OR($A74="",$B74=""),0,IF(IFERROR(INDEX(Award!$D$5:$D$34,MATCH($A74,Award!$A$5:$A$34,0))&amp;"","")=$B74,1,0))</f>
      </c>
      <c r="AL74" s="15">
        <f>IF(OR($AK74&lt;&gt;1,$V74=""),"",IFERROR(INDEX(Suppliers!$N$5:$N$12,MATCH($B74,Suppliers!$A$5:$A$12,0))*$V74/INDEX(Suppliers!$L$5:$L$12,MATCH($B74,Suppliers!$A$5:$A$12,0)),0))</f>
      </c>
      <c r="AM74" s="15">
        <f>IF($AL74="","",N($M74)*($V74+IF(Setup!$B$4="Yes",$AL74,0)))</f>
      </c>
      <c r="AN74" s="15">
        <f>IF(OR($AL74="",$W74=""),"",($V74+$AL74+$AM74)*$W74)</f>
      </c>
    </row>
    <row r="75">
      <c r="A75" s="13"/>
      <c r="B75" s="6"/>
      <c r="C75" s="13"/>
      <c r="D75" s="13"/>
      <c r="E75" s="13"/>
      <c r="F75" s="22"/>
      <c r="G75" s="13"/>
      <c r="H75" s="22"/>
      <c r="I75" s="13"/>
      <c r="J75" s="22"/>
      <c r="K75" s="13"/>
      <c r="L75" s="22"/>
      <c r="M75" s="14"/>
      <c r="N75" s="13"/>
      <c r="O75" s="7"/>
      <c r="P75" s="6"/>
      <c r="Q75" s="3">
        <f>IF($A75="","",IFERROR(INDEX(Lines!$B$5:$B$34,MATCH($A75,Lines!$A$5:$A$34,0)),"Unknown line"))</f>
      </c>
      <c r="R75" s="17">
        <f>IF($A75="","",IFERROR(INDEX(Lines!$D$5:$D$34,MATCH($A75,Lines!$A$5:$A$34,0)),""))</f>
      </c>
      <c r="S75" s="3">
        <f>IF($B75="","",IFERROR(INDEX(Suppliers!$B$5:$B$12,MATCH($B75,Suppliers!$A$5:$A$12,0))&amp;"",""))</f>
      </c>
      <c r="T75" s="17">
        <f>IF(OR(N($R75)&lt;=0,$F75=""),"",CEILING(MAX($R75,N($C75),N($E75)),IF(N($D75)&gt;0,$D75,1)))</f>
      </c>
      <c r="U75" s="16">
        <f>IF($T75="","",IF(AND($K75&lt;&gt;"",$L75&lt;&gt;"",$T75&gt;=N($K75)),$L75,IF(AND($I75&lt;&gt;"",$J75&lt;&gt;"",$T75&gt;=N($I75)),$J75,IF(AND($G75&lt;&gt;"",$H75&lt;&gt;"",$T75&gt;=N($G75)),$H75,$F75))))</f>
      </c>
      <c r="V75" s="15">
        <f>IF($T75="","",$T75*$U75)</f>
      </c>
      <c r="W75" s="16">
        <f>IF($S75="","",IF($S75=Setup!$B$3,1,IFERROR(IF(N(INDEX(Setup!$B$8:$B$17,MATCH($S75,Setup!$A$8:$A$17,0)))&gt;0,INDEX(Setup!$B$8:$B$17,MATCH($S75,Setup!$A$8:$A$17,0)),""),"")))</f>
      </c>
      <c r="X75" s="15">
        <f>IF($V75="","",IFERROR(INDEX(Suppliers!$K$5:$K$12,MATCH($B75,Suppliers!$A$5:$A$12,0))*$V75/INDEX(Suppliers!$I$5:$I$12,MATCH($B75,Suppliers!$A$5:$A$12,0)),0))</f>
      </c>
      <c r="Y75" s="15">
        <f>IF($V75="","",N($M75)*($V75+IF(Setup!$B$4="Yes",$X75,0)))</f>
      </c>
      <c r="Z75" s="15">
        <f>IF($V75="","",$V75+$X75+$Y75)</f>
      </c>
      <c r="AA75" s="15">
        <f>IF(OR($Z75="",$W75=""),"",$Z75*$W75)</f>
      </c>
      <c r="AB75" s="16">
        <f>IF($AA75="","",$AA75/$R75)</f>
      </c>
      <c r="AC75" s="17">
        <f>IF($T75="","",$T75-$R75)</f>
      </c>
      <c r="AD75" s="3">
        <f>IF($A75="","",IF($Q75="Unknown line","Line not on Lines",IF($S75="","Supplier not on Suppliers",IF($F75="","No price",IF($W75="","Exchange rate missing — left out","OK")))))</f>
      </c>
      <c r="AE75" s="17">
        <f>IF($AB75="","",COUNTIFS($A$5:$A$84,$A75,$AB$5:$AB$84,"&lt;"&amp;$AB75)+1)</f>
      </c>
      <c r="AF75" s="3">
        <f>IF($AE75=1,"Best","")</f>
      </c>
      <c r="AG75" s="17">
        <f>IF($T75="","",IF(AND($G75&lt;&gt;"",$H75&lt;&gt;"",$T75&lt;N($G75)),$G75,IF(AND($I75&lt;&gt;"",$J75&lt;&gt;"",$T75&lt;N($I75)),$I75,IF(AND($K75&lt;&gt;"",$L75&lt;&gt;"",$T75&lt;N($K75)),$K75,""))))</f>
      </c>
      <c r="AH75" s="15">
        <f>IF($AG75="","",CEILING($AG75,IF(N($D75)&gt;0,$D75,1))*IF($AG75=$G75,$H75,IF($AG75=$I75,$J75,$L75)))</f>
      </c>
      <c r="AI75" s="3">
        <f>IF($AH75="","",IF($AH75&lt;$V75,"Ordering "&amp;TEXT(CEILING($AG75,IF(N($D75)&gt;0,$D75,1)),"0")&amp;" costs "&amp;TEXT($V75-$AH75,"0.00")&amp;" less in goods",""))</f>
      </c>
      <c r="AJ75" s="3">
        <f>IF($AE75="","",$A75&amp;"#"&amp;$AE75)</f>
      </c>
      <c r="AK75" s="17">
        <f>IF(OR($A75="",$B75=""),0,IF(IFERROR(INDEX(Award!$D$5:$D$34,MATCH($A75,Award!$A$5:$A$34,0))&amp;"","")=$B75,1,0))</f>
      </c>
      <c r="AL75" s="15">
        <f>IF(OR($AK75&lt;&gt;1,$V75=""),"",IFERROR(INDEX(Suppliers!$N$5:$N$12,MATCH($B75,Suppliers!$A$5:$A$12,0))*$V75/INDEX(Suppliers!$L$5:$L$12,MATCH($B75,Suppliers!$A$5:$A$12,0)),0))</f>
      </c>
      <c r="AM75" s="15">
        <f>IF($AL75="","",N($M75)*($V75+IF(Setup!$B$4="Yes",$AL75,0)))</f>
      </c>
      <c r="AN75" s="15">
        <f>IF(OR($AL75="",$W75=""),"",($V75+$AL75+$AM75)*$W75)</f>
      </c>
    </row>
    <row r="76">
      <c r="A76" s="13"/>
      <c r="B76" s="6"/>
      <c r="C76" s="13"/>
      <c r="D76" s="13"/>
      <c r="E76" s="13"/>
      <c r="F76" s="22"/>
      <c r="G76" s="13"/>
      <c r="H76" s="22"/>
      <c r="I76" s="13"/>
      <c r="J76" s="22"/>
      <c r="K76" s="13"/>
      <c r="L76" s="22"/>
      <c r="M76" s="14"/>
      <c r="N76" s="13"/>
      <c r="O76" s="7"/>
      <c r="P76" s="6"/>
      <c r="Q76" s="3">
        <f>IF($A76="","",IFERROR(INDEX(Lines!$B$5:$B$34,MATCH($A76,Lines!$A$5:$A$34,0)),"Unknown line"))</f>
      </c>
      <c r="R76" s="17">
        <f>IF($A76="","",IFERROR(INDEX(Lines!$D$5:$D$34,MATCH($A76,Lines!$A$5:$A$34,0)),""))</f>
      </c>
      <c r="S76" s="3">
        <f>IF($B76="","",IFERROR(INDEX(Suppliers!$B$5:$B$12,MATCH($B76,Suppliers!$A$5:$A$12,0))&amp;"",""))</f>
      </c>
      <c r="T76" s="17">
        <f>IF(OR(N($R76)&lt;=0,$F76=""),"",CEILING(MAX($R76,N($C76),N($E76)),IF(N($D76)&gt;0,$D76,1)))</f>
      </c>
      <c r="U76" s="16">
        <f>IF($T76="","",IF(AND($K76&lt;&gt;"",$L76&lt;&gt;"",$T76&gt;=N($K76)),$L76,IF(AND($I76&lt;&gt;"",$J76&lt;&gt;"",$T76&gt;=N($I76)),$J76,IF(AND($G76&lt;&gt;"",$H76&lt;&gt;"",$T76&gt;=N($G76)),$H76,$F76))))</f>
      </c>
      <c r="V76" s="15">
        <f>IF($T76="","",$T76*$U76)</f>
      </c>
      <c r="W76" s="16">
        <f>IF($S76="","",IF($S76=Setup!$B$3,1,IFERROR(IF(N(INDEX(Setup!$B$8:$B$17,MATCH($S76,Setup!$A$8:$A$17,0)))&gt;0,INDEX(Setup!$B$8:$B$17,MATCH($S76,Setup!$A$8:$A$17,0)),""),"")))</f>
      </c>
      <c r="X76" s="15">
        <f>IF($V76="","",IFERROR(INDEX(Suppliers!$K$5:$K$12,MATCH($B76,Suppliers!$A$5:$A$12,0))*$V76/INDEX(Suppliers!$I$5:$I$12,MATCH($B76,Suppliers!$A$5:$A$12,0)),0))</f>
      </c>
      <c r="Y76" s="15">
        <f>IF($V76="","",N($M76)*($V76+IF(Setup!$B$4="Yes",$X76,0)))</f>
      </c>
      <c r="Z76" s="15">
        <f>IF($V76="","",$V76+$X76+$Y76)</f>
      </c>
      <c r="AA76" s="15">
        <f>IF(OR($Z76="",$W76=""),"",$Z76*$W76)</f>
      </c>
      <c r="AB76" s="16">
        <f>IF($AA76="","",$AA76/$R76)</f>
      </c>
      <c r="AC76" s="17">
        <f>IF($T76="","",$T76-$R76)</f>
      </c>
      <c r="AD76" s="3">
        <f>IF($A76="","",IF($Q76="Unknown line","Line not on Lines",IF($S76="","Supplier not on Suppliers",IF($F76="","No price",IF($W76="","Exchange rate missing — left out","OK")))))</f>
      </c>
      <c r="AE76" s="17">
        <f>IF($AB76="","",COUNTIFS($A$5:$A$84,$A76,$AB$5:$AB$84,"&lt;"&amp;$AB76)+1)</f>
      </c>
      <c r="AF76" s="3">
        <f>IF($AE76=1,"Best","")</f>
      </c>
      <c r="AG76" s="17">
        <f>IF($T76="","",IF(AND($G76&lt;&gt;"",$H76&lt;&gt;"",$T76&lt;N($G76)),$G76,IF(AND($I76&lt;&gt;"",$J76&lt;&gt;"",$T76&lt;N($I76)),$I76,IF(AND($K76&lt;&gt;"",$L76&lt;&gt;"",$T76&lt;N($K76)),$K76,""))))</f>
      </c>
      <c r="AH76" s="15">
        <f>IF($AG76="","",CEILING($AG76,IF(N($D76)&gt;0,$D76,1))*IF($AG76=$G76,$H76,IF($AG76=$I76,$J76,$L76)))</f>
      </c>
      <c r="AI76" s="3">
        <f>IF($AH76="","",IF($AH76&lt;$V76,"Ordering "&amp;TEXT(CEILING($AG76,IF(N($D76)&gt;0,$D76,1)),"0")&amp;" costs "&amp;TEXT($V76-$AH76,"0.00")&amp;" less in goods",""))</f>
      </c>
      <c r="AJ76" s="3">
        <f>IF($AE76="","",$A76&amp;"#"&amp;$AE76)</f>
      </c>
      <c r="AK76" s="17">
        <f>IF(OR($A76="",$B76=""),0,IF(IFERROR(INDEX(Award!$D$5:$D$34,MATCH($A76,Award!$A$5:$A$34,0))&amp;"","")=$B76,1,0))</f>
      </c>
      <c r="AL76" s="15">
        <f>IF(OR($AK76&lt;&gt;1,$V76=""),"",IFERROR(INDEX(Suppliers!$N$5:$N$12,MATCH($B76,Suppliers!$A$5:$A$12,0))*$V76/INDEX(Suppliers!$L$5:$L$12,MATCH($B76,Suppliers!$A$5:$A$12,0)),0))</f>
      </c>
      <c r="AM76" s="15">
        <f>IF($AL76="","",N($M76)*($V76+IF(Setup!$B$4="Yes",$AL76,0)))</f>
      </c>
      <c r="AN76" s="15">
        <f>IF(OR($AL76="",$W76=""),"",($V76+$AL76+$AM76)*$W76)</f>
      </c>
    </row>
    <row r="77">
      <c r="A77" s="13"/>
      <c r="B77" s="6"/>
      <c r="C77" s="13"/>
      <c r="D77" s="13"/>
      <c r="E77" s="13"/>
      <c r="F77" s="22"/>
      <c r="G77" s="13"/>
      <c r="H77" s="22"/>
      <c r="I77" s="13"/>
      <c r="J77" s="22"/>
      <c r="K77" s="13"/>
      <c r="L77" s="22"/>
      <c r="M77" s="14"/>
      <c r="N77" s="13"/>
      <c r="O77" s="7"/>
      <c r="P77" s="6"/>
      <c r="Q77" s="3">
        <f>IF($A77="","",IFERROR(INDEX(Lines!$B$5:$B$34,MATCH($A77,Lines!$A$5:$A$34,0)),"Unknown line"))</f>
      </c>
      <c r="R77" s="17">
        <f>IF($A77="","",IFERROR(INDEX(Lines!$D$5:$D$34,MATCH($A77,Lines!$A$5:$A$34,0)),""))</f>
      </c>
      <c r="S77" s="3">
        <f>IF($B77="","",IFERROR(INDEX(Suppliers!$B$5:$B$12,MATCH($B77,Suppliers!$A$5:$A$12,0))&amp;"",""))</f>
      </c>
      <c r="T77" s="17">
        <f>IF(OR(N($R77)&lt;=0,$F77=""),"",CEILING(MAX($R77,N($C77),N($E77)),IF(N($D77)&gt;0,$D77,1)))</f>
      </c>
      <c r="U77" s="16">
        <f>IF($T77="","",IF(AND($K77&lt;&gt;"",$L77&lt;&gt;"",$T77&gt;=N($K77)),$L77,IF(AND($I77&lt;&gt;"",$J77&lt;&gt;"",$T77&gt;=N($I77)),$J77,IF(AND($G77&lt;&gt;"",$H77&lt;&gt;"",$T77&gt;=N($G77)),$H77,$F77))))</f>
      </c>
      <c r="V77" s="15">
        <f>IF($T77="","",$T77*$U77)</f>
      </c>
      <c r="W77" s="16">
        <f>IF($S77="","",IF($S77=Setup!$B$3,1,IFERROR(IF(N(INDEX(Setup!$B$8:$B$17,MATCH($S77,Setup!$A$8:$A$17,0)))&gt;0,INDEX(Setup!$B$8:$B$17,MATCH($S77,Setup!$A$8:$A$17,0)),""),"")))</f>
      </c>
      <c r="X77" s="15">
        <f>IF($V77="","",IFERROR(INDEX(Suppliers!$K$5:$K$12,MATCH($B77,Suppliers!$A$5:$A$12,0))*$V77/INDEX(Suppliers!$I$5:$I$12,MATCH($B77,Suppliers!$A$5:$A$12,0)),0))</f>
      </c>
      <c r="Y77" s="15">
        <f>IF($V77="","",N($M77)*($V77+IF(Setup!$B$4="Yes",$X77,0)))</f>
      </c>
      <c r="Z77" s="15">
        <f>IF($V77="","",$V77+$X77+$Y77)</f>
      </c>
      <c r="AA77" s="15">
        <f>IF(OR($Z77="",$W77=""),"",$Z77*$W77)</f>
      </c>
      <c r="AB77" s="16">
        <f>IF($AA77="","",$AA77/$R77)</f>
      </c>
      <c r="AC77" s="17">
        <f>IF($T77="","",$T77-$R77)</f>
      </c>
      <c r="AD77" s="3">
        <f>IF($A77="","",IF($Q77="Unknown line","Line not on Lines",IF($S77="","Supplier not on Suppliers",IF($F77="","No price",IF($W77="","Exchange rate missing — left out","OK")))))</f>
      </c>
      <c r="AE77" s="17">
        <f>IF($AB77="","",COUNTIFS($A$5:$A$84,$A77,$AB$5:$AB$84,"&lt;"&amp;$AB77)+1)</f>
      </c>
      <c r="AF77" s="3">
        <f>IF($AE77=1,"Best","")</f>
      </c>
      <c r="AG77" s="17">
        <f>IF($T77="","",IF(AND($G77&lt;&gt;"",$H77&lt;&gt;"",$T77&lt;N($G77)),$G77,IF(AND($I77&lt;&gt;"",$J77&lt;&gt;"",$T77&lt;N($I77)),$I77,IF(AND($K77&lt;&gt;"",$L77&lt;&gt;"",$T77&lt;N($K77)),$K77,""))))</f>
      </c>
      <c r="AH77" s="15">
        <f>IF($AG77="","",CEILING($AG77,IF(N($D77)&gt;0,$D77,1))*IF($AG77=$G77,$H77,IF($AG77=$I77,$J77,$L77)))</f>
      </c>
      <c r="AI77" s="3">
        <f>IF($AH77="","",IF($AH77&lt;$V77,"Ordering "&amp;TEXT(CEILING($AG77,IF(N($D77)&gt;0,$D77,1)),"0")&amp;" costs "&amp;TEXT($V77-$AH77,"0.00")&amp;" less in goods",""))</f>
      </c>
      <c r="AJ77" s="3">
        <f>IF($AE77="","",$A77&amp;"#"&amp;$AE77)</f>
      </c>
      <c r="AK77" s="17">
        <f>IF(OR($A77="",$B77=""),0,IF(IFERROR(INDEX(Award!$D$5:$D$34,MATCH($A77,Award!$A$5:$A$34,0))&amp;"","")=$B77,1,0))</f>
      </c>
      <c r="AL77" s="15">
        <f>IF(OR($AK77&lt;&gt;1,$V77=""),"",IFERROR(INDEX(Suppliers!$N$5:$N$12,MATCH($B77,Suppliers!$A$5:$A$12,0))*$V77/INDEX(Suppliers!$L$5:$L$12,MATCH($B77,Suppliers!$A$5:$A$12,0)),0))</f>
      </c>
      <c r="AM77" s="15">
        <f>IF($AL77="","",N($M77)*($V77+IF(Setup!$B$4="Yes",$AL77,0)))</f>
      </c>
      <c r="AN77" s="15">
        <f>IF(OR($AL77="",$W77=""),"",($V77+$AL77+$AM77)*$W77)</f>
      </c>
    </row>
    <row r="78">
      <c r="A78" s="13"/>
      <c r="B78" s="6"/>
      <c r="C78" s="13"/>
      <c r="D78" s="13"/>
      <c r="E78" s="13"/>
      <c r="F78" s="22"/>
      <c r="G78" s="13"/>
      <c r="H78" s="22"/>
      <c r="I78" s="13"/>
      <c r="J78" s="22"/>
      <c r="K78" s="13"/>
      <c r="L78" s="22"/>
      <c r="M78" s="14"/>
      <c r="N78" s="13"/>
      <c r="O78" s="7"/>
      <c r="P78" s="6"/>
      <c r="Q78" s="3">
        <f>IF($A78="","",IFERROR(INDEX(Lines!$B$5:$B$34,MATCH($A78,Lines!$A$5:$A$34,0)),"Unknown line"))</f>
      </c>
      <c r="R78" s="17">
        <f>IF($A78="","",IFERROR(INDEX(Lines!$D$5:$D$34,MATCH($A78,Lines!$A$5:$A$34,0)),""))</f>
      </c>
      <c r="S78" s="3">
        <f>IF($B78="","",IFERROR(INDEX(Suppliers!$B$5:$B$12,MATCH($B78,Suppliers!$A$5:$A$12,0))&amp;"",""))</f>
      </c>
      <c r="T78" s="17">
        <f>IF(OR(N($R78)&lt;=0,$F78=""),"",CEILING(MAX($R78,N($C78),N($E78)),IF(N($D78)&gt;0,$D78,1)))</f>
      </c>
      <c r="U78" s="16">
        <f>IF($T78="","",IF(AND($K78&lt;&gt;"",$L78&lt;&gt;"",$T78&gt;=N($K78)),$L78,IF(AND($I78&lt;&gt;"",$J78&lt;&gt;"",$T78&gt;=N($I78)),$J78,IF(AND($G78&lt;&gt;"",$H78&lt;&gt;"",$T78&gt;=N($G78)),$H78,$F78))))</f>
      </c>
      <c r="V78" s="15">
        <f>IF($T78="","",$T78*$U78)</f>
      </c>
      <c r="W78" s="16">
        <f>IF($S78="","",IF($S78=Setup!$B$3,1,IFERROR(IF(N(INDEX(Setup!$B$8:$B$17,MATCH($S78,Setup!$A$8:$A$17,0)))&gt;0,INDEX(Setup!$B$8:$B$17,MATCH($S78,Setup!$A$8:$A$17,0)),""),"")))</f>
      </c>
      <c r="X78" s="15">
        <f>IF($V78="","",IFERROR(INDEX(Suppliers!$K$5:$K$12,MATCH($B78,Suppliers!$A$5:$A$12,0))*$V78/INDEX(Suppliers!$I$5:$I$12,MATCH($B78,Suppliers!$A$5:$A$12,0)),0))</f>
      </c>
      <c r="Y78" s="15">
        <f>IF($V78="","",N($M78)*($V78+IF(Setup!$B$4="Yes",$X78,0)))</f>
      </c>
      <c r="Z78" s="15">
        <f>IF($V78="","",$V78+$X78+$Y78)</f>
      </c>
      <c r="AA78" s="15">
        <f>IF(OR($Z78="",$W78=""),"",$Z78*$W78)</f>
      </c>
      <c r="AB78" s="16">
        <f>IF($AA78="","",$AA78/$R78)</f>
      </c>
      <c r="AC78" s="17">
        <f>IF($T78="","",$T78-$R78)</f>
      </c>
      <c r="AD78" s="3">
        <f>IF($A78="","",IF($Q78="Unknown line","Line not on Lines",IF($S78="","Supplier not on Suppliers",IF($F78="","No price",IF($W78="","Exchange rate missing — left out","OK")))))</f>
      </c>
      <c r="AE78" s="17">
        <f>IF($AB78="","",COUNTIFS($A$5:$A$84,$A78,$AB$5:$AB$84,"&lt;"&amp;$AB78)+1)</f>
      </c>
      <c r="AF78" s="3">
        <f>IF($AE78=1,"Best","")</f>
      </c>
      <c r="AG78" s="17">
        <f>IF($T78="","",IF(AND($G78&lt;&gt;"",$H78&lt;&gt;"",$T78&lt;N($G78)),$G78,IF(AND($I78&lt;&gt;"",$J78&lt;&gt;"",$T78&lt;N($I78)),$I78,IF(AND($K78&lt;&gt;"",$L78&lt;&gt;"",$T78&lt;N($K78)),$K78,""))))</f>
      </c>
      <c r="AH78" s="15">
        <f>IF($AG78="","",CEILING($AG78,IF(N($D78)&gt;0,$D78,1))*IF($AG78=$G78,$H78,IF($AG78=$I78,$J78,$L78)))</f>
      </c>
      <c r="AI78" s="3">
        <f>IF($AH78="","",IF($AH78&lt;$V78,"Ordering "&amp;TEXT(CEILING($AG78,IF(N($D78)&gt;0,$D78,1)),"0")&amp;" costs "&amp;TEXT($V78-$AH78,"0.00")&amp;" less in goods",""))</f>
      </c>
      <c r="AJ78" s="3">
        <f>IF($AE78="","",$A78&amp;"#"&amp;$AE78)</f>
      </c>
      <c r="AK78" s="17">
        <f>IF(OR($A78="",$B78=""),0,IF(IFERROR(INDEX(Award!$D$5:$D$34,MATCH($A78,Award!$A$5:$A$34,0))&amp;"","")=$B78,1,0))</f>
      </c>
      <c r="AL78" s="15">
        <f>IF(OR($AK78&lt;&gt;1,$V78=""),"",IFERROR(INDEX(Suppliers!$N$5:$N$12,MATCH($B78,Suppliers!$A$5:$A$12,0))*$V78/INDEX(Suppliers!$L$5:$L$12,MATCH($B78,Suppliers!$A$5:$A$12,0)),0))</f>
      </c>
      <c r="AM78" s="15">
        <f>IF($AL78="","",N($M78)*($V78+IF(Setup!$B$4="Yes",$AL78,0)))</f>
      </c>
      <c r="AN78" s="15">
        <f>IF(OR($AL78="",$W78=""),"",($V78+$AL78+$AM78)*$W78)</f>
      </c>
    </row>
    <row r="79">
      <c r="A79" s="13"/>
      <c r="B79" s="6"/>
      <c r="C79" s="13"/>
      <c r="D79" s="13"/>
      <c r="E79" s="13"/>
      <c r="F79" s="22"/>
      <c r="G79" s="13"/>
      <c r="H79" s="22"/>
      <c r="I79" s="13"/>
      <c r="J79" s="22"/>
      <c r="K79" s="13"/>
      <c r="L79" s="22"/>
      <c r="M79" s="14"/>
      <c r="N79" s="13"/>
      <c r="O79" s="7"/>
      <c r="P79" s="6"/>
      <c r="Q79" s="3">
        <f>IF($A79="","",IFERROR(INDEX(Lines!$B$5:$B$34,MATCH($A79,Lines!$A$5:$A$34,0)),"Unknown line"))</f>
      </c>
      <c r="R79" s="17">
        <f>IF($A79="","",IFERROR(INDEX(Lines!$D$5:$D$34,MATCH($A79,Lines!$A$5:$A$34,0)),""))</f>
      </c>
      <c r="S79" s="3">
        <f>IF($B79="","",IFERROR(INDEX(Suppliers!$B$5:$B$12,MATCH($B79,Suppliers!$A$5:$A$12,0))&amp;"",""))</f>
      </c>
      <c r="T79" s="17">
        <f>IF(OR(N($R79)&lt;=0,$F79=""),"",CEILING(MAX($R79,N($C79),N($E79)),IF(N($D79)&gt;0,$D79,1)))</f>
      </c>
      <c r="U79" s="16">
        <f>IF($T79="","",IF(AND($K79&lt;&gt;"",$L79&lt;&gt;"",$T79&gt;=N($K79)),$L79,IF(AND($I79&lt;&gt;"",$J79&lt;&gt;"",$T79&gt;=N($I79)),$J79,IF(AND($G79&lt;&gt;"",$H79&lt;&gt;"",$T79&gt;=N($G79)),$H79,$F79))))</f>
      </c>
      <c r="V79" s="15">
        <f>IF($T79="","",$T79*$U79)</f>
      </c>
      <c r="W79" s="16">
        <f>IF($S79="","",IF($S79=Setup!$B$3,1,IFERROR(IF(N(INDEX(Setup!$B$8:$B$17,MATCH($S79,Setup!$A$8:$A$17,0)))&gt;0,INDEX(Setup!$B$8:$B$17,MATCH($S79,Setup!$A$8:$A$17,0)),""),"")))</f>
      </c>
      <c r="X79" s="15">
        <f>IF($V79="","",IFERROR(INDEX(Suppliers!$K$5:$K$12,MATCH($B79,Suppliers!$A$5:$A$12,0))*$V79/INDEX(Suppliers!$I$5:$I$12,MATCH($B79,Suppliers!$A$5:$A$12,0)),0))</f>
      </c>
      <c r="Y79" s="15">
        <f>IF($V79="","",N($M79)*($V79+IF(Setup!$B$4="Yes",$X79,0)))</f>
      </c>
      <c r="Z79" s="15">
        <f>IF($V79="","",$V79+$X79+$Y79)</f>
      </c>
      <c r="AA79" s="15">
        <f>IF(OR($Z79="",$W79=""),"",$Z79*$W79)</f>
      </c>
      <c r="AB79" s="16">
        <f>IF($AA79="","",$AA79/$R79)</f>
      </c>
      <c r="AC79" s="17">
        <f>IF($T79="","",$T79-$R79)</f>
      </c>
      <c r="AD79" s="3">
        <f>IF($A79="","",IF($Q79="Unknown line","Line not on Lines",IF($S79="","Supplier not on Suppliers",IF($F79="","No price",IF($W79="","Exchange rate missing — left out","OK")))))</f>
      </c>
      <c r="AE79" s="17">
        <f>IF($AB79="","",COUNTIFS($A$5:$A$84,$A79,$AB$5:$AB$84,"&lt;"&amp;$AB79)+1)</f>
      </c>
      <c r="AF79" s="3">
        <f>IF($AE79=1,"Best","")</f>
      </c>
      <c r="AG79" s="17">
        <f>IF($T79="","",IF(AND($G79&lt;&gt;"",$H79&lt;&gt;"",$T79&lt;N($G79)),$G79,IF(AND($I79&lt;&gt;"",$J79&lt;&gt;"",$T79&lt;N($I79)),$I79,IF(AND($K79&lt;&gt;"",$L79&lt;&gt;"",$T79&lt;N($K79)),$K79,""))))</f>
      </c>
      <c r="AH79" s="15">
        <f>IF($AG79="","",CEILING($AG79,IF(N($D79)&gt;0,$D79,1))*IF($AG79=$G79,$H79,IF($AG79=$I79,$J79,$L79)))</f>
      </c>
      <c r="AI79" s="3">
        <f>IF($AH79="","",IF($AH79&lt;$V79,"Ordering "&amp;TEXT(CEILING($AG79,IF(N($D79)&gt;0,$D79,1)),"0")&amp;" costs "&amp;TEXT($V79-$AH79,"0.00")&amp;" less in goods",""))</f>
      </c>
      <c r="AJ79" s="3">
        <f>IF($AE79="","",$A79&amp;"#"&amp;$AE79)</f>
      </c>
      <c r="AK79" s="17">
        <f>IF(OR($A79="",$B79=""),0,IF(IFERROR(INDEX(Award!$D$5:$D$34,MATCH($A79,Award!$A$5:$A$34,0))&amp;"","")=$B79,1,0))</f>
      </c>
      <c r="AL79" s="15">
        <f>IF(OR($AK79&lt;&gt;1,$V79=""),"",IFERROR(INDEX(Suppliers!$N$5:$N$12,MATCH($B79,Suppliers!$A$5:$A$12,0))*$V79/INDEX(Suppliers!$L$5:$L$12,MATCH($B79,Suppliers!$A$5:$A$12,0)),0))</f>
      </c>
      <c r="AM79" s="15">
        <f>IF($AL79="","",N($M79)*($V79+IF(Setup!$B$4="Yes",$AL79,0)))</f>
      </c>
      <c r="AN79" s="15">
        <f>IF(OR($AL79="",$W79=""),"",($V79+$AL79+$AM79)*$W79)</f>
      </c>
    </row>
    <row r="80">
      <c r="A80" s="13"/>
      <c r="B80" s="6"/>
      <c r="C80" s="13"/>
      <c r="D80" s="13"/>
      <c r="E80" s="13"/>
      <c r="F80" s="22"/>
      <c r="G80" s="13"/>
      <c r="H80" s="22"/>
      <c r="I80" s="13"/>
      <c r="J80" s="22"/>
      <c r="K80" s="13"/>
      <c r="L80" s="22"/>
      <c r="M80" s="14"/>
      <c r="N80" s="13"/>
      <c r="O80" s="7"/>
      <c r="P80" s="6"/>
      <c r="Q80" s="3">
        <f>IF($A80="","",IFERROR(INDEX(Lines!$B$5:$B$34,MATCH($A80,Lines!$A$5:$A$34,0)),"Unknown line"))</f>
      </c>
      <c r="R80" s="17">
        <f>IF($A80="","",IFERROR(INDEX(Lines!$D$5:$D$34,MATCH($A80,Lines!$A$5:$A$34,0)),""))</f>
      </c>
      <c r="S80" s="3">
        <f>IF($B80="","",IFERROR(INDEX(Suppliers!$B$5:$B$12,MATCH($B80,Suppliers!$A$5:$A$12,0))&amp;"",""))</f>
      </c>
      <c r="T80" s="17">
        <f>IF(OR(N($R80)&lt;=0,$F80=""),"",CEILING(MAX($R80,N($C80),N($E80)),IF(N($D80)&gt;0,$D80,1)))</f>
      </c>
      <c r="U80" s="16">
        <f>IF($T80="","",IF(AND($K80&lt;&gt;"",$L80&lt;&gt;"",$T80&gt;=N($K80)),$L80,IF(AND($I80&lt;&gt;"",$J80&lt;&gt;"",$T80&gt;=N($I80)),$J80,IF(AND($G80&lt;&gt;"",$H80&lt;&gt;"",$T80&gt;=N($G80)),$H80,$F80))))</f>
      </c>
      <c r="V80" s="15">
        <f>IF($T80="","",$T80*$U80)</f>
      </c>
      <c r="W80" s="16">
        <f>IF($S80="","",IF($S80=Setup!$B$3,1,IFERROR(IF(N(INDEX(Setup!$B$8:$B$17,MATCH($S80,Setup!$A$8:$A$17,0)))&gt;0,INDEX(Setup!$B$8:$B$17,MATCH($S80,Setup!$A$8:$A$17,0)),""),"")))</f>
      </c>
      <c r="X80" s="15">
        <f>IF($V80="","",IFERROR(INDEX(Suppliers!$K$5:$K$12,MATCH($B80,Suppliers!$A$5:$A$12,0))*$V80/INDEX(Suppliers!$I$5:$I$12,MATCH($B80,Suppliers!$A$5:$A$12,0)),0))</f>
      </c>
      <c r="Y80" s="15">
        <f>IF($V80="","",N($M80)*($V80+IF(Setup!$B$4="Yes",$X80,0)))</f>
      </c>
      <c r="Z80" s="15">
        <f>IF($V80="","",$V80+$X80+$Y80)</f>
      </c>
      <c r="AA80" s="15">
        <f>IF(OR($Z80="",$W80=""),"",$Z80*$W80)</f>
      </c>
      <c r="AB80" s="16">
        <f>IF($AA80="","",$AA80/$R80)</f>
      </c>
      <c r="AC80" s="17">
        <f>IF($T80="","",$T80-$R80)</f>
      </c>
      <c r="AD80" s="3">
        <f>IF($A80="","",IF($Q80="Unknown line","Line not on Lines",IF($S80="","Supplier not on Suppliers",IF($F80="","No price",IF($W80="","Exchange rate missing — left out","OK")))))</f>
      </c>
      <c r="AE80" s="17">
        <f>IF($AB80="","",COUNTIFS($A$5:$A$84,$A80,$AB$5:$AB$84,"&lt;"&amp;$AB80)+1)</f>
      </c>
      <c r="AF80" s="3">
        <f>IF($AE80=1,"Best","")</f>
      </c>
      <c r="AG80" s="17">
        <f>IF($T80="","",IF(AND($G80&lt;&gt;"",$H80&lt;&gt;"",$T80&lt;N($G80)),$G80,IF(AND($I80&lt;&gt;"",$J80&lt;&gt;"",$T80&lt;N($I80)),$I80,IF(AND($K80&lt;&gt;"",$L80&lt;&gt;"",$T80&lt;N($K80)),$K80,""))))</f>
      </c>
      <c r="AH80" s="15">
        <f>IF($AG80="","",CEILING($AG80,IF(N($D80)&gt;0,$D80,1))*IF($AG80=$G80,$H80,IF($AG80=$I80,$J80,$L80)))</f>
      </c>
      <c r="AI80" s="3">
        <f>IF($AH80="","",IF($AH80&lt;$V80,"Ordering "&amp;TEXT(CEILING($AG80,IF(N($D80)&gt;0,$D80,1)),"0")&amp;" costs "&amp;TEXT($V80-$AH80,"0.00")&amp;" less in goods",""))</f>
      </c>
      <c r="AJ80" s="3">
        <f>IF($AE80="","",$A80&amp;"#"&amp;$AE80)</f>
      </c>
      <c r="AK80" s="17">
        <f>IF(OR($A80="",$B80=""),0,IF(IFERROR(INDEX(Award!$D$5:$D$34,MATCH($A80,Award!$A$5:$A$34,0))&amp;"","")=$B80,1,0))</f>
      </c>
      <c r="AL80" s="15">
        <f>IF(OR($AK80&lt;&gt;1,$V80=""),"",IFERROR(INDEX(Suppliers!$N$5:$N$12,MATCH($B80,Suppliers!$A$5:$A$12,0))*$V80/INDEX(Suppliers!$L$5:$L$12,MATCH($B80,Suppliers!$A$5:$A$12,0)),0))</f>
      </c>
      <c r="AM80" s="15">
        <f>IF($AL80="","",N($M80)*($V80+IF(Setup!$B$4="Yes",$AL80,0)))</f>
      </c>
      <c r="AN80" s="15">
        <f>IF(OR($AL80="",$W80=""),"",($V80+$AL80+$AM80)*$W80)</f>
      </c>
    </row>
    <row r="81">
      <c r="A81" s="13"/>
      <c r="B81" s="6"/>
      <c r="C81" s="13"/>
      <c r="D81" s="13"/>
      <c r="E81" s="13"/>
      <c r="F81" s="22"/>
      <c r="G81" s="13"/>
      <c r="H81" s="22"/>
      <c r="I81" s="13"/>
      <c r="J81" s="22"/>
      <c r="K81" s="13"/>
      <c r="L81" s="22"/>
      <c r="M81" s="14"/>
      <c r="N81" s="13"/>
      <c r="O81" s="7"/>
      <c r="P81" s="6"/>
      <c r="Q81" s="3">
        <f>IF($A81="","",IFERROR(INDEX(Lines!$B$5:$B$34,MATCH($A81,Lines!$A$5:$A$34,0)),"Unknown line"))</f>
      </c>
      <c r="R81" s="17">
        <f>IF($A81="","",IFERROR(INDEX(Lines!$D$5:$D$34,MATCH($A81,Lines!$A$5:$A$34,0)),""))</f>
      </c>
      <c r="S81" s="3">
        <f>IF($B81="","",IFERROR(INDEX(Suppliers!$B$5:$B$12,MATCH($B81,Suppliers!$A$5:$A$12,0))&amp;"",""))</f>
      </c>
      <c r="T81" s="17">
        <f>IF(OR(N($R81)&lt;=0,$F81=""),"",CEILING(MAX($R81,N($C81),N($E81)),IF(N($D81)&gt;0,$D81,1)))</f>
      </c>
      <c r="U81" s="16">
        <f>IF($T81="","",IF(AND($K81&lt;&gt;"",$L81&lt;&gt;"",$T81&gt;=N($K81)),$L81,IF(AND($I81&lt;&gt;"",$J81&lt;&gt;"",$T81&gt;=N($I81)),$J81,IF(AND($G81&lt;&gt;"",$H81&lt;&gt;"",$T81&gt;=N($G81)),$H81,$F81))))</f>
      </c>
      <c r="V81" s="15">
        <f>IF($T81="","",$T81*$U81)</f>
      </c>
      <c r="W81" s="16">
        <f>IF($S81="","",IF($S81=Setup!$B$3,1,IFERROR(IF(N(INDEX(Setup!$B$8:$B$17,MATCH($S81,Setup!$A$8:$A$17,0)))&gt;0,INDEX(Setup!$B$8:$B$17,MATCH($S81,Setup!$A$8:$A$17,0)),""),"")))</f>
      </c>
      <c r="X81" s="15">
        <f>IF($V81="","",IFERROR(INDEX(Suppliers!$K$5:$K$12,MATCH($B81,Suppliers!$A$5:$A$12,0))*$V81/INDEX(Suppliers!$I$5:$I$12,MATCH($B81,Suppliers!$A$5:$A$12,0)),0))</f>
      </c>
      <c r="Y81" s="15">
        <f>IF($V81="","",N($M81)*($V81+IF(Setup!$B$4="Yes",$X81,0)))</f>
      </c>
      <c r="Z81" s="15">
        <f>IF($V81="","",$V81+$X81+$Y81)</f>
      </c>
      <c r="AA81" s="15">
        <f>IF(OR($Z81="",$W81=""),"",$Z81*$W81)</f>
      </c>
      <c r="AB81" s="16">
        <f>IF($AA81="","",$AA81/$R81)</f>
      </c>
      <c r="AC81" s="17">
        <f>IF($T81="","",$T81-$R81)</f>
      </c>
      <c r="AD81" s="3">
        <f>IF($A81="","",IF($Q81="Unknown line","Line not on Lines",IF($S81="","Supplier not on Suppliers",IF($F81="","No price",IF($W81="","Exchange rate missing — left out","OK")))))</f>
      </c>
      <c r="AE81" s="17">
        <f>IF($AB81="","",COUNTIFS($A$5:$A$84,$A81,$AB$5:$AB$84,"&lt;"&amp;$AB81)+1)</f>
      </c>
      <c r="AF81" s="3">
        <f>IF($AE81=1,"Best","")</f>
      </c>
      <c r="AG81" s="17">
        <f>IF($T81="","",IF(AND($G81&lt;&gt;"",$H81&lt;&gt;"",$T81&lt;N($G81)),$G81,IF(AND($I81&lt;&gt;"",$J81&lt;&gt;"",$T81&lt;N($I81)),$I81,IF(AND($K81&lt;&gt;"",$L81&lt;&gt;"",$T81&lt;N($K81)),$K81,""))))</f>
      </c>
      <c r="AH81" s="15">
        <f>IF($AG81="","",CEILING($AG81,IF(N($D81)&gt;0,$D81,1))*IF($AG81=$G81,$H81,IF($AG81=$I81,$J81,$L81)))</f>
      </c>
      <c r="AI81" s="3">
        <f>IF($AH81="","",IF($AH81&lt;$V81,"Ordering "&amp;TEXT(CEILING($AG81,IF(N($D81)&gt;0,$D81,1)),"0")&amp;" costs "&amp;TEXT($V81-$AH81,"0.00")&amp;" less in goods",""))</f>
      </c>
      <c r="AJ81" s="3">
        <f>IF($AE81="","",$A81&amp;"#"&amp;$AE81)</f>
      </c>
      <c r="AK81" s="17">
        <f>IF(OR($A81="",$B81=""),0,IF(IFERROR(INDEX(Award!$D$5:$D$34,MATCH($A81,Award!$A$5:$A$34,0))&amp;"","")=$B81,1,0))</f>
      </c>
      <c r="AL81" s="15">
        <f>IF(OR($AK81&lt;&gt;1,$V81=""),"",IFERROR(INDEX(Suppliers!$N$5:$N$12,MATCH($B81,Suppliers!$A$5:$A$12,0))*$V81/INDEX(Suppliers!$L$5:$L$12,MATCH($B81,Suppliers!$A$5:$A$12,0)),0))</f>
      </c>
      <c r="AM81" s="15">
        <f>IF($AL81="","",N($M81)*($V81+IF(Setup!$B$4="Yes",$AL81,0)))</f>
      </c>
      <c r="AN81" s="15">
        <f>IF(OR($AL81="",$W81=""),"",($V81+$AL81+$AM81)*$W81)</f>
      </c>
    </row>
    <row r="82">
      <c r="A82" s="13"/>
      <c r="B82" s="6"/>
      <c r="C82" s="13"/>
      <c r="D82" s="13"/>
      <c r="E82" s="13"/>
      <c r="F82" s="22"/>
      <c r="G82" s="13"/>
      <c r="H82" s="22"/>
      <c r="I82" s="13"/>
      <c r="J82" s="22"/>
      <c r="K82" s="13"/>
      <c r="L82" s="22"/>
      <c r="M82" s="14"/>
      <c r="N82" s="13"/>
      <c r="O82" s="7"/>
      <c r="P82" s="6"/>
      <c r="Q82" s="3">
        <f>IF($A82="","",IFERROR(INDEX(Lines!$B$5:$B$34,MATCH($A82,Lines!$A$5:$A$34,0)),"Unknown line"))</f>
      </c>
      <c r="R82" s="17">
        <f>IF($A82="","",IFERROR(INDEX(Lines!$D$5:$D$34,MATCH($A82,Lines!$A$5:$A$34,0)),""))</f>
      </c>
      <c r="S82" s="3">
        <f>IF($B82="","",IFERROR(INDEX(Suppliers!$B$5:$B$12,MATCH($B82,Suppliers!$A$5:$A$12,0))&amp;"",""))</f>
      </c>
      <c r="T82" s="17">
        <f>IF(OR(N($R82)&lt;=0,$F82=""),"",CEILING(MAX($R82,N($C82),N($E82)),IF(N($D82)&gt;0,$D82,1)))</f>
      </c>
      <c r="U82" s="16">
        <f>IF($T82="","",IF(AND($K82&lt;&gt;"",$L82&lt;&gt;"",$T82&gt;=N($K82)),$L82,IF(AND($I82&lt;&gt;"",$J82&lt;&gt;"",$T82&gt;=N($I82)),$J82,IF(AND($G82&lt;&gt;"",$H82&lt;&gt;"",$T82&gt;=N($G82)),$H82,$F82))))</f>
      </c>
      <c r="V82" s="15">
        <f>IF($T82="","",$T82*$U82)</f>
      </c>
      <c r="W82" s="16">
        <f>IF($S82="","",IF($S82=Setup!$B$3,1,IFERROR(IF(N(INDEX(Setup!$B$8:$B$17,MATCH($S82,Setup!$A$8:$A$17,0)))&gt;0,INDEX(Setup!$B$8:$B$17,MATCH($S82,Setup!$A$8:$A$17,0)),""),"")))</f>
      </c>
      <c r="X82" s="15">
        <f>IF($V82="","",IFERROR(INDEX(Suppliers!$K$5:$K$12,MATCH($B82,Suppliers!$A$5:$A$12,0))*$V82/INDEX(Suppliers!$I$5:$I$12,MATCH($B82,Suppliers!$A$5:$A$12,0)),0))</f>
      </c>
      <c r="Y82" s="15">
        <f>IF($V82="","",N($M82)*($V82+IF(Setup!$B$4="Yes",$X82,0)))</f>
      </c>
      <c r="Z82" s="15">
        <f>IF($V82="","",$V82+$X82+$Y82)</f>
      </c>
      <c r="AA82" s="15">
        <f>IF(OR($Z82="",$W82=""),"",$Z82*$W82)</f>
      </c>
      <c r="AB82" s="16">
        <f>IF($AA82="","",$AA82/$R82)</f>
      </c>
      <c r="AC82" s="17">
        <f>IF($T82="","",$T82-$R82)</f>
      </c>
      <c r="AD82" s="3">
        <f>IF($A82="","",IF($Q82="Unknown line","Line not on Lines",IF($S82="","Supplier not on Suppliers",IF($F82="","No price",IF($W82="","Exchange rate missing — left out","OK")))))</f>
      </c>
      <c r="AE82" s="17">
        <f>IF($AB82="","",COUNTIFS($A$5:$A$84,$A82,$AB$5:$AB$84,"&lt;"&amp;$AB82)+1)</f>
      </c>
      <c r="AF82" s="3">
        <f>IF($AE82=1,"Best","")</f>
      </c>
      <c r="AG82" s="17">
        <f>IF($T82="","",IF(AND($G82&lt;&gt;"",$H82&lt;&gt;"",$T82&lt;N($G82)),$G82,IF(AND($I82&lt;&gt;"",$J82&lt;&gt;"",$T82&lt;N($I82)),$I82,IF(AND($K82&lt;&gt;"",$L82&lt;&gt;"",$T82&lt;N($K82)),$K82,""))))</f>
      </c>
      <c r="AH82" s="15">
        <f>IF($AG82="","",CEILING($AG82,IF(N($D82)&gt;0,$D82,1))*IF($AG82=$G82,$H82,IF($AG82=$I82,$J82,$L82)))</f>
      </c>
      <c r="AI82" s="3">
        <f>IF($AH82="","",IF($AH82&lt;$V82,"Ordering "&amp;TEXT(CEILING($AG82,IF(N($D82)&gt;0,$D82,1)),"0")&amp;" costs "&amp;TEXT($V82-$AH82,"0.00")&amp;" less in goods",""))</f>
      </c>
      <c r="AJ82" s="3">
        <f>IF($AE82="","",$A82&amp;"#"&amp;$AE82)</f>
      </c>
      <c r="AK82" s="17">
        <f>IF(OR($A82="",$B82=""),0,IF(IFERROR(INDEX(Award!$D$5:$D$34,MATCH($A82,Award!$A$5:$A$34,0))&amp;"","")=$B82,1,0))</f>
      </c>
      <c r="AL82" s="15">
        <f>IF(OR($AK82&lt;&gt;1,$V82=""),"",IFERROR(INDEX(Suppliers!$N$5:$N$12,MATCH($B82,Suppliers!$A$5:$A$12,0))*$V82/INDEX(Suppliers!$L$5:$L$12,MATCH($B82,Suppliers!$A$5:$A$12,0)),0))</f>
      </c>
      <c r="AM82" s="15">
        <f>IF($AL82="","",N($M82)*($V82+IF(Setup!$B$4="Yes",$AL82,0)))</f>
      </c>
      <c r="AN82" s="15">
        <f>IF(OR($AL82="",$W82=""),"",($V82+$AL82+$AM82)*$W82)</f>
      </c>
    </row>
    <row r="83">
      <c r="A83" s="13"/>
      <c r="B83" s="6"/>
      <c r="C83" s="13"/>
      <c r="D83" s="13"/>
      <c r="E83" s="13"/>
      <c r="F83" s="22"/>
      <c r="G83" s="13"/>
      <c r="H83" s="22"/>
      <c r="I83" s="13"/>
      <c r="J83" s="22"/>
      <c r="K83" s="13"/>
      <c r="L83" s="22"/>
      <c r="M83" s="14"/>
      <c r="N83" s="13"/>
      <c r="O83" s="7"/>
      <c r="P83" s="6"/>
      <c r="Q83" s="3">
        <f>IF($A83="","",IFERROR(INDEX(Lines!$B$5:$B$34,MATCH($A83,Lines!$A$5:$A$34,0)),"Unknown line"))</f>
      </c>
      <c r="R83" s="17">
        <f>IF($A83="","",IFERROR(INDEX(Lines!$D$5:$D$34,MATCH($A83,Lines!$A$5:$A$34,0)),""))</f>
      </c>
      <c r="S83" s="3">
        <f>IF($B83="","",IFERROR(INDEX(Suppliers!$B$5:$B$12,MATCH($B83,Suppliers!$A$5:$A$12,0))&amp;"",""))</f>
      </c>
      <c r="T83" s="17">
        <f>IF(OR(N($R83)&lt;=0,$F83=""),"",CEILING(MAX($R83,N($C83),N($E83)),IF(N($D83)&gt;0,$D83,1)))</f>
      </c>
      <c r="U83" s="16">
        <f>IF($T83="","",IF(AND($K83&lt;&gt;"",$L83&lt;&gt;"",$T83&gt;=N($K83)),$L83,IF(AND($I83&lt;&gt;"",$J83&lt;&gt;"",$T83&gt;=N($I83)),$J83,IF(AND($G83&lt;&gt;"",$H83&lt;&gt;"",$T83&gt;=N($G83)),$H83,$F83))))</f>
      </c>
      <c r="V83" s="15">
        <f>IF($T83="","",$T83*$U83)</f>
      </c>
      <c r="W83" s="16">
        <f>IF($S83="","",IF($S83=Setup!$B$3,1,IFERROR(IF(N(INDEX(Setup!$B$8:$B$17,MATCH($S83,Setup!$A$8:$A$17,0)))&gt;0,INDEX(Setup!$B$8:$B$17,MATCH($S83,Setup!$A$8:$A$17,0)),""),"")))</f>
      </c>
      <c r="X83" s="15">
        <f>IF($V83="","",IFERROR(INDEX(Suppliers!$K$5:$K$12,MATCH($B83,Suppliers!$A$5:$A$12,0))*$V83/INDEX(Suppliers!$I$5:$I$12,MATCH($B83,Suppliers!$A$5:$A$12,0)),0))</f>
      </c>
      <c r="Y83" s="15">
        <f>IF($V83="","",N($M83)*($V83+IF(Setup!$B$4="Yes",$X83,0)))</f>
      </c>
      <c r="Z83" s="15">
        <f>IF($V83="","",$V83+$X83+$Y83)</f>
      </c>
      <c r="AA83" s="15">
        <f>IF(OR($Z83="",$W83=""),"",$Z83*$W83)</f>
      </c>
      <c r="AB83" s="16">
        <f>IF($AA83="","",$AA83/$R83)</f>
      </c>
      <c r="AC83" s="17">
        <f>IF($T83="","",$T83-$R83)</f>
      </c>
      <c r="AD83" s="3">
        <f>IF($A83="","",IF($Q83="Unknown line","Line not on Lines",IF($S83="","Supplier not on Suppliers",IF($F83="","No price",IF($W83="","Exchange rate missing — left out","OK")))))</f>
      </c>
      <c r="AE83" s="17">
        <f>IF($AB83="","",COUNTIFS($A$5:$A$84,$A83,$AB$5:$AB$84,"&lt;"&amp;$AB83)+1)</f>
      </c>
      <c r="AF83" s="3">
        <f>IF($AE83=1,"Best","")</f>
      </c>
      <c r="AG83" s="17">
        <f>IF($T83="","",IF(AND($G83&lt;&gt;"",$H83&lt;&gt;"",$T83&lt;N($G83)),$G83,IF(AND($I83&lt;&gt;"",$J83&lt;&gt;"",$T83&lt;N($I83)),$I83,IF(AND($K83&lt;&gt;"",$L83&lt;&gt;"",$T83&lt;N($K83)),$K83,""))))</f>
      </c>
      <c r="AH83" s="15">
        <f>IF($AG83="","",CEILING($AG83,IF(N($D83)&gt;0,$D83,1))*IF($AG83=$G83,$H83,IF($AG83=$I83,$J83,$L83)))</f>
      </c>
      <c r="AI83" s="3">
        <f>IF($AH83="","",IF($AH83&lt;$V83,"Ordering "&amp;TEXT(CEILING($AG83,IF(N($D83)&gt;0,$D83,1)),"0")&amp;" costs "&amp;TEXT($V83-$AH83,"0.00")&amp;" less in goods",""))</f>
      </c>
      <c r="AJ83" s="3">
        <f>IF($AE83="","",$A83&amp;"#"&amp;$AE83)</f>
      </c>
      <c r="AK83" s="17">
        <f>IF(OR($A83="",$B83=""),0,IF(IFERROR(INDEX(Award!$D$5:$D$34,MATCH($A83,Award!$A$5:$A$34,0))&amp;"","")=$B83,1,0))</f>
      </c>
      <c r="AL83" s="15">
        <f>IF(OR($AK83&lt;&gt;1,$V83=""),"",IFERROR(INDEX(Suppliers!$N$5:$N$12,MATCH($B83,Suppliers!$A$5:$A$12,0))*$V83/INDEX(Suppliers!$L$5:$L$12,MATCH($B83,Suppliers!$A$5:$A$12,0)),0))</f>
      </c>
      <c r="AM83" s="15">
        <f>IF($AL83="","",N($M83)*($V83+IF(Setup!$B$4="Yes",$AL83,0)))</f>
      </c>
      <c r="AN83" s="15">
        <f>IF(OR($AL83="",$W83=""),"",($V83+$AL83+$AM83)*$W83)</f>
      </c>
    </row>
    <row r="84">
      <c r="A84" s="13"/>
      <c r="B84" s="6"/>
      <c r="C84" s="13"/>
      <c r="D84" s="13"/>
      <c r="E84" s="13"/>
      <c r="F84" s="22"/>
      <c r="G84" s="13"/>
      <c r="H84" s="22"/>
      <c r="I84" s="13"/>
      <c r="J84" s="22"/>
      <c r="K84" s="13"/>
      <c r="L84" s="22"/>
      <c r="M84" s="14"/>
      <c r="N84" s="13"/>
      <c r="O84" s="7"/>
      <c r="P84" s="6"/>
      <c r="Q84" s="3">
        <f>IF($A84="","",IFERROR(INDEX(Lines!$B$5:$B$34,MATCH($A84,Lines!$A$5:$A$34,0)),"Unknown line"))</f>
      </c>
      <c r="R84" s="17">
        <f>IF($A84="","",IFERROR(INDEX(Lines!$D$5:$D$34,MATCH($A84,Lines!$A$5:$A$34,0)),""))</f>
      </c>
      <c r="S84" s="3">
        <f>IF($B84="","",IFERROR(INDEX(Suppliers!$B$5:$B$12,MATCH($B84,Suppliers!$A$5:$A$12,0))&amp;"",""))</f>
      </c>
      <c r="T84" s="17">
        <f>IF(OR(N($R84)&lt;=0,$F84=""),"",CEILING(MAX($R84,N($C84),N($E84)),IF(N($D84)&gt;0,$D84,1)))</f>
      </c>
      <c r="U84" s="16">
        <f>IF($T84="","",IF(AND($K84&lt;&gt;"",$L84&lt;&gt;"",$T84&gt;=N($K84)),$L84,IF(AND($I84&lt;&gt;"",$J84&lt;&gt;"",$T84&gt;=N($I84)),$J84,IF(AND($G84&lt;&gt;"",$H84&lt;&gt;"",$T84&gt;=N($G84)),$H84,$F84))))</f>
      </c>
      <c r="V84" s="15">
        <f>IF($T84="","",$T84*$U84)</f>
      </c>
      <c r="W84" s="16">
        <f>IF($S84="","",IF($S84=Setup!$B$3,1,IFERROR(IF(N(INDEX(Setup!$B$8:$B$17,MATCH($S84,Setup!$A$8:$A$17,0)))&gt;0,INDEX(Setup!$B$8:$B$17,MATCH($S84,Setup!$A$8:$A$17,0)),""),"")))</f>
      </c>
      <c r="X84" s="15">
        <f>IF($V84="","",IFERROR(INDEX(Suppliers!$K$5:$K$12,MATCH($B84,Suppliers!$A$5:$A$12,0))*$V84/INDEX(Suppliers!$I$5:$I$12,MATCH($B84,Suppliers!$A$5:$A$12,0)),0))</f>
      </c>
      <c r="Y84" s="15">
        <f>IF($V84="","",N($M84)*($V84+IF(Setup!$B$4="Yes",$X84,0)))</f>
      </c>
      <c r="Z84" s="15">
        <f>IF($V84="","",$V84+$X84+$Y84)</f>
      </c>
      <c r="AA84" s="15">
        <f>IF(OR($Z84="",$W84=""),"",$Z84*$W84)</f>
      </c>
      <c r="AB84" s="16">
        <f>IF($AA84="","",$AA84/$R84)</f>
      </c>
      <c r="AC84" s="17">
        <f>IF($T84="","",$T84-$R84)</f>
      </c>
      <c r="AD84" s="3">
        <f>IF($A84="","",IF($Q84="Unknown line","Line not on Lines",IF($S84="","Supplier not on Suppliers",IF($F84="","No price",IF($W84="","Exchange rate missing — left out","OK")))))</f>
      </c>
      <c r="AE84" s="17">
        <f>IF($AB84="","",COUNTIFS($A$5:$A$84,$A84,$AB$5:$AB$84,"&lt;"&amp;$AB84)+1)</f>
      </c>
      <c r="AF84" s="3">
        <f>IF($AE84=1,"Best","")</f>
      </c>
      <c r="AG84" s="17">
        <f>IF($T84="","",IF(AND($G84&lt;&gt;"",$H84&lt;&gt;"",$T84&lt;N($G84)),$G84,IF(AND($I84&lt;&gt;"",$J84&lt;&gt;"",$T84&lt;N($I84)),$I84,IF(AND($K84&lt;&gt;"",$L84&lt;&gt;"",$T84&lt;N($K84)),$K84,""))))</f>
      </c>
      <c r="AH84" s="15">
        <f>IF($AG84="","",CEILING($AG84,IF(N($D84)&gt;0,$D84,1))*IF($AG84=$G84,$H84,IF($AG84=$I84,$J84,$L84)))</f>
      </c>
      <c r="AI84" s="3">
        <f>IF($AH84="","",IF($AH84&lt;$V84,"Ordering "&amp;TEXT(CEILING($AG84,IF(N($D84)&gt;0,$D84,1)),"0")&amp;" costs "&amp;TEXT($V84-$AH84,"0.00")&amp;" less in goods",""))</f>
      </c>
      <c r="AJ84" s="3">
        <f>IF($AE84="","",$A84&amp;"#"&amp;$AE84)</f>
      </c>
      <c r="AK84" s="17">
        <f>IF(OR($A84="",$B84=""),0,IF(IFERROR(INDEX(Award!$D$5:$D$34,MATCH($A84,Award!$A$5:$A$34,0))&amp;"","")=$B84,1,0))</f>
      </c>
      <c r="AL84" s="15">
        <f>IF(OR($AK84&lt;&gt;1,$V84=""),"",IFERROR(INDEX(Suppliers!$N$5:$N$12,MATCH($B84,Suppliers!$A$5:$A$12,0))*$V84/INDEX(Suppliers!$L$5:$L$12,MATCH($B84,Suppliers!$A$5:$A$12,0)),0))</f>
      </c>
      <c r="AM84" s="15">
        <f>IF($AL84="","",N($M84)*($V84+IF(Setup!$B$4="Yes",$AL84,0)))</f>
      </c>
      <c r="AN84" s="15">
        <f>IF(OR($AL84="",$W84=""),"",($V84+$AL84+$AM84)*$W84)</f>
      </c>
    </row>
  </sheetData>
  <dataValidations count="2">
    <dataValidation type="list" errorStyle="warning" allowBlank="1" showInputMessage="1" showErrorMessage="1" prompt="Choose a supplier from the Suppliers sheet." sqref="B5:B84">
      <formula1>Suppliers!$A$5:$A$12</formula1>
    </dataValidation>
    <dataValidation type="decimal" operator="greaterThanOrEqual" errorStyle="warning" allowBlank="1" showInputMessage="1" showErrorMessage="1" error="Quantities and prices are 0 or more." sqref="C5:L84">
      <formula1>0</formula1>
    </dataValidation>
  </dataValidations>
  <pageMargins left="0.5" right="0.5" top="0.6" bottom="0.6" header="0.3" footer="0.3"/>
</worksheet>
</file>

<file path=xl/worksheets/sheet6.xml><?xml version="1.0" encoding="utf-8"?>
<worksheet xmlns="http://schemas.openxmlformats.org/spreadsheetml/2006/main" xmlns:r="http://schemas.openxmlformats.org/officeDocument/2006/relationships">
  <sheetPr>
    <tabColor rgb="FF166534"/>
    <pageSetUpPr fitToPage="1"/>
  </sheetPr>
  <sheetViews>
    <sheetView workbookViewId="0">
      <pane ySplit="4" topLeftCell="A5" activePane="bottomLeft" state="frozen"/>
      <selection pane="bottomLeft" activeCell="A5" sqref="A5"/>
    </sheetView>
  </sheetViews>
  <sheetFormatPr defaultRowHeight="15"/>
  <cols>
    <col min="1" max="1" width="20" customWidth="1"/>
    <col min="2" max="2" width="24" customWidth="1"/>
    <col min="3" max="3" width="14" customWidth="1"/>
    <col min="4" max="4" width="14" customWidth="1"/>
    <col min="5" max="5" width="20" customWidth="1"/>
    <col min="6" max="6" width="14" customWidth="1"/>
    <col min="7" max="7" width="14" customWidth="1"/>
    <col min="8" max="8" width="20" customWidth="1"/>
    <col min="9" max="9" width="14" customWidth="1"/>
    <col min="10" max="10" width="14" customWidth="1"/>
  </cols>
  <sheetData>
    <row r="1">
      <c r="A1" s="1" t="inlineStr">
        <is>
          <t xml:space="preserve">Compare</t>
        </is>
      </c>
    </row>
    <row r="2">
      <c r="A2" s="8">
        <f>"Offers ranked by landed cost per unit you need, in "&amp;Setup!$B$3&amp;". Each supplier's freight is spread over every line it quoted — see Award for the cost of a split order."</f>
      </c>
    </row>
    <row r="4" ht="32" customHeight="1">
      <c r="A4" s="21" t="inlineStr">
        <is>
          <t xml:space="preserve">Line</t>
        </is>
      </c>
      <c r="B4" s="21" t="inlineStr">
        <is>
          <t xml:space="preserve">Item</t>
        </is>
      </c>
      <c r="C4" s="21" t="inlineStr">
        <is>
          <t xml:space="preserve">Qty needed</t>
        </is>
      </c>
      <c r="D4" s="21" t="inlineStr">
        <is>
          <t xml:space="preserve">Offers</t>
        </is>
      </c>
      <c r="E4" s="21" t="inlineStr">
        <is>
          <t xml:space="preserve">Best supplier</t>
        </is>
      </c>
      <c r="F4" s="21" t="inlineStr">
        <is>
          <t xml:space="preserve">Best per unit needed</t>
        </is>
      </c>
      <c r="G4" s="21" t="inlineStr">
        <is>
          <t xml:space="preserve">Best landed total</t>
        </is>
      </c>
      <c r="H4" s="21" t="inlineStr">
        <is>
          <t xml:space="preserve">Runner-up</t>
        </is>
      </c>
      <c r="I4" s="21" t="inlineStr">
        <is>
          <t xml:space="preserve">Runner-up per unit needed</t>
        </is>
      </c>
      <c r="J4" s="21" t="inlineStr">
        <is>
          <t xml:space="preserve">Runner-up costs more by</t>
        </is>
      </c>
    </row>
    <row r="5">
      <c r="A5" s="17">
        <f>IF(Lines!$A5="","",Lines!$A5)</f>
      </c>
      <c r="B5" s="3">
        <f>IF($A5="","",Lines!$B5&amp;"")</f>
      </c>
      <c r="C5" s="17">
        <f>IF($A5="","",Lines!$D5)</f>
      </c>
      <c r="D5" s="17">
        <f>IF($A5="","",COUNTIFS(Quotes!$A$5:$A$84,$A5,Quotes!$AB$5:$AB$84,"&gt;0"))</f>
      </c>
      <c r="E5" s="20">
        <f>IF($A5="","",IF($D5=0,"No valid offer",IFERROR(INDEX(Quotes!$B$5:$B$84,MATCH($A5&amp;"#1",Quotes!$AJ$5:$AJ$84,0)),"")))</f>
      </c>
      <c r="F5" s="19">
        <f>IF($A5="","",IFERROR(INDEX(Quotes!$AB$5:$AB$84,MATCH($A5&amp;"#1",Quotes!$AJ$5:$AJ$84,0)),""))</f>
      </c>
      <c r="G5" s="15">
        <f>IF($A5="","",IFERROR(INDEX(Quotes!$AA$5:$AA$84,MATCH($A5&amp;"#1",Quotes!$AJ$5:$AJ$84,0)),""))</f>
      </c>
      <c r="H5" s="3">
        <f>IF($A5="","",IFERROR(INDEX(Quotes!$B$5:$B$84,MATCH($A5&amp;"#2",Quotes!$AJ$5:$AJ$84,0)),""))</f>
      </c>
      <c r="I5" s="16">
        <f>IF($A5="","",IFERROR(INDEX(Quotes!$AB$5:$AB$84,MATCH($A5&amp;"#2",Quotes!$AJ$5:$AJ$84,0)),""))</f>
      </c>
      <c r="J5" s="18">
        <f>IF(OR($F5="",$I5=""),"",$I5/$F5-1)</f>
      </c>
    </row>
    <row r="6">
      <c r="A6" s="17">
        <f>IF(Lines!$A6="","",Lines!$A6)</f>
      </c>
      <c r="B6" s="3">
        <f>IF($A6="","",Lines!$B6&amp;"")</f>
      </c>
      <c r="C6" s="17">
        <f>IF($A6="","",Lines!$D6)</f>
      </c>
      <c r="D6" s="17">
        <f>IF($A6="","",COUNTIFS(Quotes!$A$5:$A$84,$A6,Quotes!$AB$5:$AB$84,"&gt;0"))</f>
      </c>
      <c r="E6" s="20">
        <f>IF($A6="","",IF($D6=0,"No valid offer",IFERROR(INDEX(Quotes!$B$5:$B$84,MATCH($A6&amp;"#1",Quotes!$AJ$5:$AJ$84,0)),"")))</f>
      </c>
      <c r="F6" s="19">
        <f>IF($A6="","",IFERROR(INDEX(Quotes!$AB$5:$AB$84,MATCH($A6&amp;"#1",Quotes!$AJ$5:$AJ$84,0)),""))</f>
      </c>
      <c r="G6" s="15">
        <f>IF($A6="","",IFERROR(INDEX(Quotes!$AA$5:$AA$84,MATCH($A6&amp;"#1",Quotes!$AJ$5:$AJ$84,0)),""))</f>
      </c>
      <c r="H6" s="3">
        <f>IF($A6="","",IFERROR(INDEX(Quotes!$B$5:$B$84,MATCH($A6&amp;"#2",Quotes!$AJ$5:$AJ$84,0)),""))</f>
      </c>
      <c r="I6" s="16">
        <f>IF($A6="","",IFERROR(INDEX(Quotes!$AB$5:$AB$84,MATCH($A6&amp;"#2",Quotes!$AJ$5:$AJ$84,0)),""))</f>
      </c>
      <c r="J6" s="18">
        <f>IF(OR($F6="",$I6=""),"",$I6/$F6-1)</f>
      </c>
    </row>
    <row r="7">
      <c r="A7" s="17">
        <f>IF(Lines!$A7="","",Lines!$A7)</f>
      </c>
      <c r="B7" s="3">
        <f>IF($A7="","",Lines!$B7&amp;"")</f>
      </c>
      <c r="C7" s="17">
        <f>IF($A7="","",Lines!$D7)</f>
      </c>
      <c r="D7" s="17">
        <f>IF($A7="","",COUNTIFS(Quotes!$A$5:$A$84,$A7,Quotes!$AB$5:$AB$84,"&gt;0"))</f>
      </c>
      <c r="E7" s="20">
        <f>IF($A7="","",IF($D7=0,"No valid offer",IFERROR(INDEX(Quotes!$B$5:$B$84,MATCH($A7&amp;"#1",Quotes!$AJ$5:$AJ$84,0)),"")))</f>
      </c>
      <c r="F7" s="19">
        <f>IF($A7="","",IFERROR(INDEX(Quotes!$AB$5:$AB$84,MATCH($A7&amp;"#1",Quotes!$AJ$5:$AJ$84,0)),""))</f>
      </c>
      <c r="G7" s="15">
        <f>IF($A7="","",IFERROR(INDEX(Quotes!$AA$5:$AA$84,MATCH($A7&amp;"#1",Quotes!$AJ$5:$AJ$84,0)),""))</f>
      </c>
      <c r="H7" s="3">
        <f>IF($A7="","",IFERROR(INDEX(Quotes!$B$5:$B$84,MATCH($A7&amp;"#2",Quotes!$AJ$5:$AJ$84,0)),""))</f>
      </c>
      <c r="I7" s="16">
        <f>IF($A7="","",IFERROR(INDEX(Quotes!$AB$5:$AB$84,MATCH($A7&amp;"#2",Quotes!$AJ$5:$AJ$84,0)),""))</f>
      </c>
      <c r="J7" s="18">
        <f>IF(OR($F7="",$I7=""),"",$I7/$F7-1)</f>
      </c>
    </row>
    <row r="8">
      <c r="A8" s="17">
        <f>IF(Lines!$A8="","",Lines!$A8)</f>
      </c>
      <c r="B8" s="3">
        <f>IF($A8="","",Lines!$B8&amp;"")</f>
      </c>
      <c r="C8" s="17">
        <f>IF($A8="","",Lines!$D8)</f>
      </c>
      <c r="D8" s="17">
        <f>IF($A8="","",COUNTIFS(Quotes!$A$5:$A$84,$A8,Quotes!$AB$5:$AB$84,"&gt;0"))</f>
      </c>
      <c r="E8" s="20">
        <f>IF($A8="","",IF($D8=0,"No valid offer",IFERROR(INDEX(Quotes!$B$5:$B$84,MATCH($A8&amp;"#1",Quotes!$AJ$5:$AJ$84,0)),"")))</f>
      </c>
      <c r="F8" s="19">
        <f>IF($A8="","",IFERROR(INDEX(Quotes!$AB$5:$AB$84,MATCH($A8&amp;"#1",Quotes!$AJ$5:$AJ$84,0)),""))</f>
      </c>
      <c r="G8" s="15">
        <f>IF($A8="","",IFERROR(INDEX(Quotes!$AA$5:$AA$84,MATCH($A8&amp;"#1",Quotes!$AJ$5:$AJ$84,0)),""))</f>
      </c>
      <c r="H8" s="3">
        <f>IF($A8="","",IFERROR(INDEX(Quotes!$B$5:$B$84,MATCH($A8&amp;"#2",Quotes!$AJ$5:$AJ$84,0)),""))</f>
      </c>
      <c r="I8" s="16">
        <f>IF($A8="","",IFERROR(INDEX(Quotes!$AB$5:$AB$84,MATCH($A8&amp;"#2",Quotes!$AJ$5:$AJ$84,0)),""))</f>
      </c>
      <c r="J8" s="18">
        <f>IF(OR($F8="",$I8=""),"",$I8/$F8-1)</f>
      </c>
    </row>
    <row r="9">
      <c r="A9" s="17">
        <f>IF(Lines!$A9="","",Lines!$A9)</f>
      </c>
      <c r="B9" s="3">
        <f>IF($A9="","",Lines!$B9&amp;"")</f>
      </c>
      <c r="C9" s="17">
        <f>IF($A9="","",Lines!$D9)</f>
      </c>
      <c r="D9" s="17">
        <f>IF($A9="","",COUNTIFS(Quotes!$A$5:$A$84,$A9,Quotes!$AB$5:$AB$84,"&gt;0"))</f>
      </c>
      <c r="E9" s="20">
        <f>IF($A9="","",IF($D9=0,"No valid offer",IFERROR(INDEX(Quotes!$B$5:$B$84,MATCH($A9&amp;"#1",Quotes!$AJ$5:$AJ$84,0)),"")))</f>
      </c>
      <c r="F9" s="19">
        <f>IF($A9="","",IFERROR(INDEX(Quotes!$AB$5:$AB$84,MATCH($A9&amp;"#1",Quotes!$AJ$5:$AJ$84,0)),""))</f>
      </c>
      <c r="G9" s="15">
        <f>IF($A9="","",IFERROR(INDEX(Quotes!$AA$5:$AA$84,MATCH($A9&amp;"#1",Quotes!$AJ$5:$AJ$84,0)),""))</f>
      </c>
      <c r="H9" s="3">
        <f>IF($A9="","",IFERROR(INDEX(Quotes!$B$5:$B$84,MATCH($A9&amp;"#2",Quotes!$AJ$5:$AJ$84,0)),""))</f>
      </c>
      <c r="I9" s="16">
        <f>IF($A9="","",IFERROR(INDEX(Quotes!$AB$5:$AB$84,MATCH($A9&amp;"#2",Quotes!$AJ$5:$AJ$84,0)),""))</f>
      </c>
      <c r="J9" s="18">
        <f>IF(OR($F9="",$I9=""),"",$I9/$F9-1)</f>
      </c>
    </row>
    <row r="10">
      <c r="A10" s="17">
        <f>IF(Lines!$A10="","",Lines!$A10)</f>
      </c>
      <c r="B10" s="3">
        <f>IF($A10="","",Lines!$B10&amp;"")</f>
      </c>
      <c r="C10" s="17">
        <f>IF($A10="","",Lines!$D10)</f>
      </c>
      <c r="D10" s="17">
        <f>IF($A10="","",COUNTIFS(Quotes!$A$5:$A$84,$A10,Quotes!$AB$5:$AB$84,"&gt;0"))</f>
      </c>
      <c r="E10" s="20">
        <f>IF($A10="","",IF($D10=0,"No valid offer",IFERROR(INDEX(Quotes!$B$5:$B$84,MATCH($A10&amp;"#1",Quotes!$AJ$5:$AJ$84,0)),"")))</f>
      </c>
      <c r="F10" s="19">
        <f>IF($A10="","",IFERROR(INDEX(Quotes!$AB$5:$AB$84,MATCH($A10&amp;"#1",Quotes!$AJ$5:$AJ$84,0)),""))</f>
      </c>
      <c r="G10" s="15">
        <f>IF($A10="","",IFERROR(INDEX(Quotes!$AA$5:$AA$84,MATCH($A10&amp;"#1",Quotes!$AJ$5:$AJ$84,0)),""))</f>
      </c>
      <c r="H10" s="3">
        <f>IF($A10="","",IFERROR(INDEX(Quotes!$B$5:$B$84,MATCH($A10&amp;"#2",Quotes!$AJ$5:$AJ$84,0)),""))</f>
      </c>
      <c r="I10" s="16">
        <f>IF($A10="","",IFERROR(INDEX(Quotes!$AB$5:$AB$84,MATCH($A10&amp;"#2",Quotes!$AJ$5:$AJ$84,0)),""))</f>
      </c>
      <c r="J10" s="18">
        <f>IF(OR($F10="",$I10=""),"",$I10/$F10-1)</f>
      </c>
    </row>
    <row r="11">
      <c r="A11" s="17">
        <f>IF(Lines!$A11="","",Lines!$A11)</f>
      </c>
      <c r="B11" s="3">
        <f>IF($A11="","",Lines!$B11&amp;"")</f>
      </c>
      <c r="C11" s="17">
        <f>IF($A11="","",Lines!$D11)</f>
      </c>
      <c r="D11" s="17">
        <f>IF($A11="","",COUNTIFS(Quotes!$A$5:$A$84,$A11,Quotes!$AB$5:$AB$84,"&gt;0"))</f>
      </c>
      <c r="E11" s="20">
        <f>IF($A11="","",IF($D11=0,"No valid offer",IFERROR(INDEX(Quotes!$B$5:$B$84,MATCH($A11&amp;"#1",Quotes!$AJ$5:$AJ$84,0)),"")))</f>
      </c>
      <c r="F11" s="19">
        <f>IF($A11="","",IFERROR(INDEX(Quotes!$AB$5:$AB$84,MATCH($A11&amp;"#1",Quotes!$AJ$5:$AJ$84,0)),""))</f>
      </c>
      <c r="G11" s="15">
        <f>IF($A11="","",IFERROR(INDEX(Quotes!$AA$5:$AA$84,MATCH($A11&amp;"#1",Quotes!$AJ$5:$AJ$84,0)),""))</f>
      </c>
      <c r="H11" s="3">
        <f>IF($A11="","",IFERROR(INDEX(Quotes!$B$5:$B$84,MATCH($A11&amp;"#2",Quotes!$AJ$5:$AJ$84,0)),""))</f>
      </c>
      <c r="I11" s="16">
        <f>IF($A11="","",IFERROR(INDEX(Quotes!$AB$5:$AB$84,MATCH($A11&amp;"#2",Quotes!$AJ$5:$AJ$84,0)),""))</f>
      </c>
      <c r="J11" s="18">
        <f>IF(OR($F11="",$I11=""),"",$I11/$F11-1)</f>
      </c>
    </row>
    <row r="12">
      <c r="A12" s="17">
        <f>IF(Lines!$A12="","",Lines!$A12)</f>
      </c>
      <c r="B12" s="3">
        <f>IF($A12="","",Lines!$B12&amp;"")</f>
      </c>
      <c r="C12" s="17">
        <f>IF($A12="","",Lines!$D12)</f>
      </c>
      <c r="D12" s="17">
        <f>IF($A12="","",COUNTIFS(Quotes!$A$5:$A$84,$A12,Quotes!$AB$5:$AB$84,"&gt;0"))</f>
      </c>
      <c r="E12" s="20">
        <f>IF($A12="","",IF($D12=0,"No valid offer",IFERROR(INDEX(Quotes!$B$5:$B$84,MATCH($A12&amp;"#1",Quotes!$AJ$5:$AJ$84,0)),"")))</f>
      </c>
      <c r="F12" s="19">
        <f>IF($A12="","",IFERROR(INDEX(Quotes!$AB$5:$AB$84,MATCH($A12&amp;"#1",Quotes!$AJ$5:$AJ$84,0)),""))</f>
      </c>
      <c r="G12" s="15">
        <f>IF($A12="","",IFERROR(INDEX(Quotes!$AA$5:$AA$84,MATCH($A12&amp;"#1",Quotes!$AJ$5:$AJ$84,0)),""))</f>
      </c>
      <c r="H12" s="3">
        <f>IF($A12="","",IFERROR(INDEX(Quotes!$B$5:$B$84,MATCH($A12&amp;"#2",Quotes!$AJ$5:$AJ$84,0)),""))</f>
      </c>
      <c r="I12" s="16">
        <f>IF($A12="","",IFERROR(INDEX(Quotes!$AB$5:$AB$84,MATCH($A12&amp;"#2",Quotes!$AJ$5:$AJ$84,0)),""))</f>
      </c>
      <c r="J12" s="18">
        <f>IF(OR($F12="",$I12=""),"",$I12/$F12-1)</f>
      </c>
    </row>
    <row r="13">
      <c r="A13" s="17">
        <f>IF(Lines!$A13="","",Lines!$A13)</f>
      </c>
      <c r="B13" s="3">
        <f>IF($A13="","",Lines!$B13&amp;"")</f>
      </c>
      <c r="C13" s="17">
        <f>IF($A13="","",Lines!$D13)</f>
      </c>
      <c r="D13" s="17">
        <f>IF($A13="","",COUNTIFS(Quotes!$A$5:$A$84,$A13,Quotes!$AB$5:$AB$84,"&gt;0"))</f>
      </c>
      <c r="E13" s="20">
        <f>IF($A13="","",IF($D13=0,"No valid offer",IFERROR(INDEX(Quotes!$B$5:$B$84,MATCH($A13&amp;"#1",Quotes!$AJ$5:$AJ$84,0)),"")))</f>
      </c>
      <c r="F13" s="19">
        <f>IF($A13="","",IFERROR(INDEX(Quotes!$AB$5:$AB$84,MATCH($A13&amp;"#1",Quotes!$AJ$5:$AJ$84,0)),""))</f>
      </c>
      <c r="G13" s="15">
        <f>IF($A13="","",IFERROR(INDEX(Quotes!$AA$5:$AA$84,MATCH($A13&amp;"#1",Quotes!$AJ$5:$AJ$84,0)),""))</f>
      </c>
      <c r="H13" s="3">
        <f>IF($A13="","",IFERROR(INDEX(Quotes!$B$5:$B$84,MATCH($A13&amp;"#2",Quotes!$AJ$5:$AJ$84,0)),""))</f>
      </c>
      <c r="I13" s="16">
        <f>IF($A13="","",IFERROR(INDEX(Quotes!$AB$5:$AB$84,MATCH($A13&amp;"#2",Quotes!$AJ$5:$AJ$84,0)),""))</f>
      </c>
      <c r="J13" s="18">
        <f>IF(OR($F13="",$I13=""),"",$I13/$F13-1)</f>
      </c>
    </row>
    <row r="14">
      <c r="A14" s="17">
        <f>IF(Lines!$A14="","",Lines!$A14)</f>
      </c>
      <c r="B14" s="3">
        <f>IF($A14="","",Lines!$B14&amp;"")</f>
      </c>
      <c r="C14" s="17">
        <f>IF($A14="","",Lines!$D14)</f>
      </c>
      <c r="D14" s="17">
        <f>IF($A14="","",COUNTIFS(Quotes!$A$5:$A$84,$A14,Quotes!$AB$5:$AB$84,"&gt;0"))</f>
      </c>
      <c r="E14" s="20">
        <f>IF($A14="","",IF($D14=0,"No valid offer",IFERROR(INDEX(Quotes!$B$5:$B$84,MATCH($A14&amp;"#1",Quotes!$AJ$5:$AJ$84,0)),"")))</f>
      </c>
      <c r="F14" s="19">
        <f>IF($A14="","",IFERROR(INDEX(Quotes!$AB$5:$AB$84,MATCH($A14&amp;"#1",Quotes!$AJ$5:$AJ$84,0)),""))</f>
      </c>
      <c r="G14" s="15">
        <f>IF($A14="","",IFERROR(INDEX(Quotes!$AA$5:$AA$84,MATCH($A14&amp;"#1",Quotes!$AJ$5:$AJ$84,0)),""))</f>
      </c>
      <c r="H14" s="3">
        <f>IF($A14="","",IFERROR(INDEX(Quotes!$B$5:$B$84,MATCH($A14&amp;"#2",Quotes!$AJ$5:$AJ$84,0)),""))</f>
      </c>
      <c r="I14" s="16">
        <f>IF($A14="","",IFERROR(INDEX(Quotes!$AB$5:$AB$84,MATCH($A14&amp;"#2",Quotes!$AJ$5:$AJ$84,0)),""))</f>
      </c>
      <c r="J14" s="18">
        <f>IF(OR($F14="",$I14=""),"",$I14/$F14-1)</f>
      </c>
    </row>
    <row r="15">
      <c r="A15" s="17">
        <f>IF(Lines!$A15="","",Lines!$A15)</f>
      </c>
      <c r="B15" s="3">
        <f>IF($A15="","",Lines!$B15&amp;"")</f>
      </c>
      <c r="C15" s="17">
        <f>IF($A15="","",Lines!$D15)</f>
      </c>
      <c r="D15" s="17">
        <f>IF($A15="","",COUNTIFS(Quotes!$A$5:$A$84,$A15,Quotes!$AB$5:$AB$84,"&gt;0"))</f>
      </c>
      <c r="E15" s="20">
        <f>IF($A15="","",IF($D15=0,"No valid offer",IFERROR(INDEX(Quotes!$B$5:$B$84,MATCH($A15&amp;"#1",Quotes!$AJ$5:$AJ$84,0)),"")))</f>
      </c>
      <c r="F15" s="19">
        <f>IF($A15="","",IFERROR(INDEX(Quotes!$AB$5:$AB$84,MATCH($A15&amp;"#1",Quotes!$AJ$5:$AJ$84,0)),""))</f>
      </c>
      <c r="G15" s="15">
        <f>IF($A15="","",IFERROR(INDEX(Quotes!$AA$5:$AA$84,MATCH($A15&amp;"#1",Quotes!$AJ$5:$AJ$84,0)),""))</f>
      </c>
      <c r="H15" s="3">
        <f>IF($A15="","",IFERROR(INDEX(Quotes!$B$5:$B$84,MATCH($A15&amp;"#2",Quotes!$AJ$5:$AJ$84,0)),""))</f>
      </c>
      <c r="I15" s="16">
        <f>IF($A15="","",IFERROR(INDEX(Quotes!$AB$5:$AB$84,MATCH($A15&amp;"#2",Quotes!$AJ$5:$AJ$84,0)),""))</f>
      </c>
      <c r="J15" s="18">
        <f>IF(OR($F15="",$I15=""),"",$I15/$F15-1)</f>
      </c>
    </row>
    <row r="16">
      <c r="A16" s="17">
        <f>IF(Lines!$A16="","",Lines!$A16)</f>
      </c>
      <c r="B16" s="3">
        <f>IF($A16="","",Lines!$B16&amp;"")</f>
      </c>
      <c r="C16" s="17">
        <f>IF($A16="","",Lines!$D16)</f>
      </c>
      <c r="D16" s="17">
        <f>IF($A16="","",COUNTIFS(Quotes!$A$5:$A$84,$A16,Quotes!$AB$5:$AB$84,"&gt;0"))</f>
      </c>
      <c r="E16" s="20">
        <f>IF($A16="","",IF($D16=0,"No valid offer",IFERROR(INDEX(Quotes!$B$5:$B$84,MATCH($A16&amp;"#1",Quotes!$AJ$5:$AJ$84,0)),"")))</f>
      </c>
      <c r="F16" s="19">
        <f>IF($A16="","",IFERROR(INDEX(Quotes!$AB$5:$AB$84,MATCH($A16&amp;"#1",Quotes!$AJ$5:$AJ$84,0)),""))</f>
      </c>
      <c r="G16" s="15">
        <f>IF($A16="","",IFERROR(INDEX(Quotes!$AA$5:$AA$84,MATCH($A16&amp;"#1",Quotes!$AJ$5:$AJ$84,0)),""))</f>
      </c>
      <c r="H16" s="3">
        <f>IF($A16="","",IFERROR(INDEX(Quotes!$B$5:$B$84,MATCH($A16&amp;"#2",Quotes!$AJ$5:$AJ$84,0)),""))</f>
      </c>
      <c r="I16" s="16">
        <f>IF($A16="","",IFERROR(INDEX(Quotes!$AB$5:$AB$84,MATCH($A16&amp;"#2",Quotes!$AJ$5:$AJ$84,0)),""))</f>
      </c>
      <c r="J16" s="18">
        <f>IF(OR($F16="",$I16=""),"",$I16/$F16-1)</f>
      </c>
    </row>
    <row r="17">
      <c r="A17" s="17">
        <f>IF(Lines!$A17="","",Lines!$A17)</f>
      </c>
      <c r="B17" s="3">
        <f>IF($A17="","",Lines!$B17&amp;"")</f>
      </c>
      <c r="C17" s="17">
        <f>IF($A17="","",Lines!$D17)</f>
      </c>
      <c r="D17" s="17">
        <f>IF($A17="","",COUNTIFS(Quotes!$A$5:$A$84,$A17,Quotes!$AB$5:$AB$84,"&gt;0"))</f>
      </c>
      <c r="E17" s="20">
        <f>IF($A17="","",IF($D17=0,"No valid offer",IFERROR(INDEX(Quotes!$B$5:$B$84,MATCH($A17&amp;"#1",Quotes!$AJ$5:$AJ$84,0)),"")))</f>
      </c>
      <c r="F17" s="19">
        <f>IF($A17="","",IFERROR(INDEX(Quotes!$AB$5:$AB$84,MATCH($A17&amp;"#1",Quotes!$AJ$5:$AJ$84,0)),""))</f>
      </c>
      <c r="G17" s="15">
        <f>IF($A17="","",IFERROR(INDEX(Quotes!$AA$5:$AA$84,MATCH($A17&amp;"#1",Quotes!$AJ$5:$AJ$84,0)),""))</f>
      </c>
      <c r="H17" s="3">
        <f>IF($A17="","",IFERROR(INDEX(Quotes!$B$5:$B$84,MATCH($A17&amp;"#2",Quotes!$AJ$5:$AJ$84,0)),""))</f>
      </c>
      <c r="I17" s="16">
        <f>IF($A17="","",IFERROR(INDEX(Quotes!$AB$5:$AB$84,MATCH($A17&amp;"#2",Quotes!$AJ$5:$AJ$84,0)),""))</f>
      </c>
      <c r="J17" s="18">
        <f>IF(OR($F17="",$I17=""),"",$I17/$F17-1)</f>
      </c>
    </row>
    <row r="18">
      <c r="A18" s="17">
        <f>IF(Lines!$A18="","",Lines!$A18)</f>
      </c>
      <c r="B18" s="3">
        <f>IF($A18="","",Lines!$B18&amp;"")</f>
      </c>
      <c r="C18" s="17">
        <f>IF($A18="","",Lines!$D18)</f>
      </c>
      <c r="D18" s="17">
        <f>IF($A18="","",COUNTIFS(Quotes!$A$5:$A$84,$A18,Quotes!$AB$5:$AB$84,"&gt;0"))</f>
      </c>
      <c r="E18" s="20">
        <f>IF($A18="","",IF($D18=0,"No valid offer",IFERROR(INDEX(Quotes!$B$5:$B$84,MATCH($A18&amp;"#1",Quotes!$AJ$5:$AJ$84,0)),"")))</f>
      </c>
      <c r="F18" s="19">
        <f>IF($A18="","",IFERROR(INDEX(Quotes!$AB$5:$AB$84,MATCH($A18&amp;"#1",Quotes!$AJ$5:$AJ$84,0)),""))</f>
      </c>
      <c r="G18" s="15">
        <f>IF($A18="","",IFERROR(INDEX(Quotes!$AA$5:$AA$84,MATCH($A18&amp;"#1",Quotes!$AJ$5:$AJ$84,0)),""))</f>
      </c>
      <c r="H18" s="3">
        <f>IF($A18="","",IFERROR(INDEX(Quotes!$B$5:$B$84,MATCH($A18&amp;"#2",Quotes!$AJ$5:$AJ$84,0)),""))</f>
      </c>
      <c r="I18" s="16">
        <f>IF($A18="","",IFERROR(INDEX(Quotes!$AB$5:$AB$84,MATCH($A18&amp;"#2",Quotes!$AJ$5:$AJ$84,0)),""))</f>
      </c>
      <c r="J18" s="18">
        <f>IF(OR($F18="",$I18=""),"",$I18/$F18-1)</f>
      </c>
    </row>
    <row r="19">
      <c r="A19" s="17">
        <f>IF(Lines!$A19="","",Lines!$A19)</f>
      </c>
      <c r="B19" s="3">
        <f>IF($A19="","",Lines!$B19&amp;"")</f>
      </c>
      <c r="C19" s="17">
        <f>IF($A19="","",Lines!$D19)</f>
      </c>
      <c r="D19" s="17">
        <f>IF($A19="","",COUNTIFS(Quotes!$A$5:$A$84,$A19,Quotes!$AB$5:$AB$84,"&gt;0"))</f>
      </c>
      <c r="E19" s="20">
        <f>IF($A19="","",IF($D19=0,"No valid offer",IFERROR(INDEX(Quotes!$B$5:$B$84,MATCH($A19&amp;"#1",Quotes!$AJ$5:$AJ$84,0)),"")))</f>
      </c>
      <c r="F19" s="19">
        <f>IF($A19="","",IFERROR(INDEX(Quotes!$AB$5:$AB$84,MATCH($A19&amp;"#1",Quotes!$AJ$5:$AJ$84,0)),""))</f>
      </c>
      <c r="G19" s="15">
        <f>IF($A19="","",IFERROR(INDEX(Quotes!$AA$5:$AA$84,MATCH($A19&amp;"#1",Quotes!$AJ$5:$AJ$84,0)),""))</f>
      </c>
      <c r="H19" s="3">
        <f>IF($A19="","",IFERROR(INDEX(Quotes!$B$5:$B$84,MATCH($A19&amp;"#2",Quotes!$AJ$5:$AJ$84,0)),""))</f>
      </c>
      <c r="I19" s="16">
        <f>IF($A19="","",IFERROR(INDEX(Quotes!$AB$5:$AB$84,MATCH($A19&amp;"#2",Quotes!$AJ$5:$AJ$84,0)),""))</f>
      </c>
      <c r="J19" s="18">
        <f>IF(OR($F19="",$I19=""),"",$I19/$F19-1)</f>
      </c>
    </row>
    <row r="20">
      <c r="A20" s="17">
        <f>IF(Lines!$A20="","",Lines!$A20)</f>
      </c>
      <c r="B20" s="3">
        <f>IF($A20="","",Lines!$B20&amp;"")</f>
      </c>
      <c r="C20" s="17">
        <f>IF($A20="","",Lines!$D20)</f>
      </c>
      <c r="D20" s="17">
        <f>IF($A20="","",COUNTIFS(Quotes!$A$5:$A$84,$A20,Quotes!$AB$5:$AB$84,"&gt;0"))</f>
      </c>
      <c r="E20" s="20">
        <f>IF($A20="","",IF($D20=0,"No valid offer",IFERROR(INDEX(Quotes!$B$5:$B$84,MATCH($A20&amp;"#1",Quotes!$AJ$5:$AJ$84,0)),"")))</f>
      </c>
      <c r="F20" s="19">
        <f>IF($A20="","",IFERROR(INDEX(Quotes!$AB$5:$AB$84,MATCH($A20&amp;"#1",Quotes!$AJ$5:$AJ$84,0)),""))</f>
      </c>
      <c r="G20" s="15">
        <f>IF($A20="","",IFERROR(INDEX(Quotes!$AA$5:$AA$84,MATCH($A20&amp;"#1",Quotes!$AJ$5:$AJ$84,0)),""))</f>
      </c>
      <c r="H20" s="3">
        <f>IF($A20="","",IFERROR(INDEX(Quotes!$B$5:$B$84,MATCH($A20&amp;"#2",Quotes!$AJ$5:$AJ$84,0)),""))</f>
      </c>
      <c r="I20" s="16">
        <f>IF($A20="","",IFERROR(INDEX(Quotes!$AB$5:$AB$84,MATCH($A20&amp;"#2",Quotes!$AJ$5:$AJ$84,0)),""))</f>
      </c>
      <c r="J20" s="18">
        <f>IF(OR($F20="",$I20=""),"",$I20/$F20-1)</f>
      </c>
    </row>
    <row r="21">
      <c r="A21" s="17">
        <f>IF(Lines!$A21="","",Lines!$A21)</f>
      </c>
      <c r="B21" s="3">
        <f>IF($A21="","",Lines!$B21&amp;"")</f>
      </c>
      <c r="C21" s="17">
        <f>IF($A21="","",Lines!$D21)</f>
      </c>
      <c r="D21" s="17">
        <f>IF($A21="","",COUNTIFS(Quotes!$A$5:$A$84,$A21,Quotes!$AB$5:$AB$84,"&gt;0"))</f>
      </c>
      <c r="E21" s="20">
        <f>IF($A21="","",IF($D21=0,"No valid offer",IFERROR(INDEX(Quotes!$B$5:$B$84,MATCH($A21&amp;"#1",Quotes!$AJ$5:$AJ$84,0)),"")))</f>
      </c>
      <c r="F21" s="19">
        <f>IF($A21="","",IFERROR(INDEX(Quotes!$AB$5:$AB$84,MATCH($A21&amp;"#1",Quotes!$AJ$5:$AJ$84,0)),""))</f>
      </c>
      <c r="G21" s="15">
        <f>IF($A21="","",IFERROR(INDEX(Quotes!$AA$5:$AA$84,MATCH($A21&amp;"#1",Quotes!$AJ$5:$AJ$84,0)),""))</f>
      </c>
      <c r="H21" s="3">
        <f>IF($A21="","",IFERROR(INDEX(Quotes!$B$5:$B$84,MATCH($A21&amp;"#2",Quotes!$AJ$5:$AJ$84,0)),""))</f>
      </c>
      <c r="I21" s="16">
        <f>IF($A21="","",IFERROR(INDEX(Quotes!$AB$5:$AB$84,MATCH($A21&amp;"#2",Quotes!$AJ$5:$AJ$84,0)),""))</f>
      </c>
      <c r="J21" s="18">
        <f>IF(OR($F21="",$I21=""),"",$I21/$F21-1)</f>
      </c>
    </row>
    <row r="22">
      <c r="A22" s="17">
        <f>IF(Lines!$A22="","",Lines!$A22)</f>
      </c>
      <c r="B22" s="3">
        <f>IF($A22="","",Lines!$B22&amp;"")</f>
      </c>
      <c r="C22" s="17">
        <f>IF($A22="","",Lines!$D22)</f>
      </c>
      <c r="D22" s="17">
        <f>IF($A22="","",COUNTIFS(Quotes!$A$5:$A$84,$A22,Quotes!$AB$5:$AB$84,"&gt;0"))</f>
      </c>
      <c r="E22" s="20">
        <f>IF($A22="","",IF($D22=0,"No valid offer",IFERROR(INDEX(Quotes!$B$5:$B$84,MATCH($A22&amp;"#1",Quotes!$AJ$5:$AJ$84,0)),"")))</f>
      </c>
      <c r="F22" s="19">
        <f>IF($A22="","",IFERROR(INDEX(Quotes!$AB$5:$AB$84,MATCH($A22&amp;"#1",Quotes!$AJ$5:$AJ$84,0)),""))</f>
      </c>
      <c r="G22" s="15">
        <f>IF($A22="","",IFERROR(INDEX(Quotes!$AA$5:$AA$84,MATCH($A22&amp;"#1",Quotes!$AJ$5:$AJ$84,0)),""))</f>
      </c>
      <c r="H22" s="3">
        <f>IF($A22="","",IFERROR(INDEX(Quotes!$B$5:$B$84,MATCH($A22&amp;"#2",Quotes!$AJ$5:$AJ$84,0)),""))</f>
      </c>
      <c r="I22" s="16">
        <f>IF($A22="","",IFERROR(INDEX(Quotes!$AB$5:$AB$84,MATCH($A22&amp;"#2",Quotes!$AJ$5:$AJ$84,0)),""))</f>
      </c>
      <c r="J22" s="18">
        <f>IF(OR($F22="",$I22=""),"",$I22/$F22-1)</f>
      </c>
    </row>
    <row r="23">
      <c r="A23" s="17">
        <f>IF(Lines!$A23="","",Lines!$A23)</f>
      </c>
      <c r="B23" s="3">
        <f>IF($A23="","",Lines!$B23&amp;"")</f>
      </c>
      <c r="C23" s="17">
        <f>IF($A23="","",Lines!$D23)</f>
      </c>
      <c r="D23" s="17">
        <f>IF($A23="","",COUNTIFS(Quotes!$A$5:$A$84,$A23,Quotes!$AB$5:$AB$84,"&gt;0"))</f>
      </c>
      <c r="E23" s="20">
        <f>IF($A23="","",IF($D23=0,"No valid offer",IFERROR(INDEX(Quotes!$B$5:$B$84,MATCH($A23&amp;"#1",Quotes!$AJ$5:$AJ$84,0)),"")))</f>
      </c>
      <c r="F23" s="19">
        <f>IF($A23="","",IFERROR(INDEX(Quotes!$AB$5:$AB$84,MATCH($A23&amp;"#1",Quotes!$AJ$5:$AJ$84,0)),""))</f>
      </c>
      <c r="G23" s="15">
        <f>IF($A23="","",IFERROR(INDEX(Quotes!$AA$5:$AA$84,MATCH($A23&amp;"#1",Quotes!$AJ$5:$AJ$84,0)),""))</f>
      </c>
      <c r="H23" s="3">
        <f>IF($A23="","",IFERROR(INDEX(Quotes!$B$5:$B$84,MATCH($A23&amp;"#2",Quotes!$AJ$5:$AJ$84,0)),""))</f>
      </c>
      <c r="I23" s="16">
        <f>IF($A23="","",IFERROR(INDEX(Quotes!$AB$5:$AB$84,MATCH($A23&amp;"#2",Quotes!$AJ$5:$AJ$84,0)),""))</f>
      </c>
      <c r="J23" s="18">
        <f>IF(OR($F23="",$I23=""),"",$I23/$F23-1)</f>
      </c>
    </row>
    <row r="24">
      <c r="A24" s="17">
        <f>IF(Lines!$A24="","",Lines!$A24)</f>
      </c>
      <c r="B24" s="3">
        <f>IF($A24="","",Lines!$B24&amp;"")</f>
      </c>
      <c r="C24" s="17">
        <f>IF($A24="","",Lines!$D24)</f>
      </c>
      <c r="D24" s="17">
        <f>IF($A24="","",COUNTIFS(Quotes!$A$5:$A$84,$A24,Quotes!$AB$5:$AB$84,"&gt;0"))</f>
      </c>
      <c r="E24" s="20">
        <f>IF($A24="","",IF($D24=0,"No valid offer",IFERROR(INDEX(Quotes!$B$5:$B$84,MATCH($A24&amp;"#1",Quotes!$AJ$5:$AJ$84,0)),"")))</f>
      </c>
      <c r="F24" s="19">
        <f>IF($A24="","",IFERROR(INDEX(Quotes!$AB$5:$AB$84,MATCH($A24&amp;"#1",Quotes!$AJ$5:$AJ$84,0)),""))</f>
      </c>
      <c r="G24" s="15">
        <f>IF($A24="","",IFERROR(INDEX(Quotes!$AA$5:$AA$84,MATCH($A24&amp;"#1",Quotes!$AJ$5:$AJ$84,0)),""))</f>
      </c>
      <c r="H24" s="3">
        <f>IF($A24="","",IFERROR(INDEX(Quotes!$B$5:$B$84,MATCH($A24&amp;"#2",Quotes!$AJ$5:$AJ$84,0)),""))</f>
      </c>
      <c r="I24" s="16">
        <f>IF($A24="","",IFERROR(INDEX(Quotes!$AB$5:$AB$84,MATCH($A24&amp;"#2",Quotes!$AJ$5:$AJ$84,0)),""))</f>
      </c>
      <c r="J24" s="18">
        <f>IF(OR($F24="",$I24=""),"",$I24/$F24-1)</f>
      </c>
    </row>
    <row r="25">
      <c r="A25" s="17">
        <f>IF(Lines!$A25="","",Lines!$A25)</f>
      </c>
      <c r="B25" s="3">
        <f>IF($A25="","",Lines!$B25&amp;"")</f>
      </c>
      <c r="C25" s="17">
        <f>IF($A25="","",Lines!$D25)</f>
      </c>
      <c r="D25" s="17">
        <f>IF($A25="","",COUNTIFS(Quotes!$A$5:$A$84,$A25,Quotes!$AB$5:$AB$84,"&gt;0"))</f>
      </c>
      <c r="E25" s="20">
        <f>IF($A25="","",IF($D25=0,"No valid offer",IFERROR(INDEX(Quotes!$B$5:$B$84,MATCH($A25&amp;"#1",Quotes!$AJ$5:$AJ$84,0)),"")))</f>
      </c>
      <c r="F25" s="19">
        <f>IF($A25="","",IFERROR(INDEX(Quotes!$AB$5:$AB$84,MATCH($A25&amp;"#1",Quotes!$AJ$5:$AJ$84,0)),""))</f>
      </c>
      <c r="G25" s="15">
        <f>IF($A25="","",IFERROR(INDEX(Quotes!$AA$5:$AA$84,MATCH($A25&amp;"#1",Quotes!$AJ$5:$AJ$84,0)),""))</f>
      </c>
      <c r="H25" s="3">
        <f>IF($A25="","",IFERROR(INDEX(Quotes!$B$5:$B$84,MATCH($A25&amp;"#2",Quotes!$AJ$5:$AJ$84,0)),""))</f>
      </c>
      <c r="I25" s="16">
        <f>IF($A25="","",IFERROR(INDEX(Quotes!$AB$5:$AB$84,MATCH($A25&amp;"#2",Quotes!$AJ$5:$AJ$84,0)),""))</f>
      </c>
      <c r="J25" s="18">
        <f>IF(OR($F25="",$I25=""),"",$I25/$F25-1)</f>
      </c>
    </row>
    <row r="26">
      <c r="A26" s="17">
        <f>IF(Lines!$A26="","",Lines!$A26)</f>
      </c>
      <c r="B26" s="3">
        <f>IF($A26="","",Lines!$B26&amp;"")</f>
      </c>
      <c r="C26" s="17">
        <f>IF($A26="","",Lines!$D26)</f>
      </c>
      <c r="D26" s="17">
        <f>IF($A26="","",COUNTIFS(Quotes!$A$5:$A$84,$A26,Quotes!$AB$5:$AB$84,"&gt;0"))</f>
      </c>
      <c r="E26" s="20">
        <f>IF($A26="","",IF($D26=0,"No valid offer",IFERROR(INDEX(Quotes!$B$5:$B$84,MATCH($A26&amp;"#1",Quotes!$AJ$5:$AJ$84,0)),"")))</f>
      </c>
      <c r="F26" s="19">
        <f>IF($A26="","",IFERROR(INDEX(Quotes!$AB$5:$AB$84,MATCH($A26&amp;"#1",Quotes!$AJ$5:$AJ$84,0)),""))</f>
      </c>
      <c r="G26" s="15">
        <f>IF($A26="","",IFERROR(INDEX(Quotes!$AA$5:$AA$84,MATCH($A26&amp;"#1",Quotes!$AJ$5:$AJ$84,0)),""))</f>
      </c>
      <c r="H26" s="3">
        <f>IF($A26="","",IFERROR(INDEX(Quotes!$B$5:$B$84,MATCH($A26&amp;"#2",Quotes!$AJ$5:$AJ$84,0)),""))</f>
      </c>
      <c r="I26" s="16">
        <f>IF($A26="","",IFERROR(INDEX(Quotes!$AB$5:$AB$84,MATCH($A26&amp;"#2",Quotes!$AJ$5:$AJ$84,0)),""))</f>
      </c>
      <c r="J26" s="18">
        <f>IF(OR($F26="",$I26=""),"",$I26/$F26-1)</f>
      </c>
    </row>
    <row r="27">
      <c r="A27" s="17">
        <f>IF(Lines!$A27="","",Lines!$A27)</f>
      </c>
      <c r="B27" s="3">
        <f>IF($A27="","",Lines!$B27&amp;"")</f>
      </c>
      <c r="C27" s="17">
        <f>IF($A27="","",Lines!$D27)</f>
      </c>
      <c r="D27" s="17">
        <f>IF($A27="","",COUNTIFS(Quotes!$A$5:$A$84,$A27,Quotes!$AB$5:$AB$84,"&gt;0"))</f>
      </c>
      <c r="E27" s="20">
        <f>IF($A27="","",IF($D27=0,"No valid offer",IFERROR(INDEX(Quotes!$B$5:$B$84,MATCH($A27&amp;"#1",Quotes!$AJ$5:$AJ$84,0)),"")))</f>
      </c>
      <c r="F27" s="19">
        <f>IF($A27="","",IFERROR(INDEX(Quotes!$AB$5:$AB$84,MATCH($A27&amp;"#1",Quotes!$AJ$5:$AJ$84,0)),""))</f>
      </c>
      <c r="G27" s="15">
        <f>IF($A27="","",IFERROR(INDEX(Quotes!$AA$5:$AA$84,MATCH($A27&amp;"#1",Quotes!$AJ$5:$AJ$84,0)),""))</f>
      </c>
      <c r="H27" s="3">
        <f>IF($A27="","",IFERROR(INDEX(Quotes!$B$5:$B$84,MATCH($A27&amp;"#2",Quotes!$AJ$5:$AJ$84,0)),""))</f>
      </c>
      <c r="I27" s="16">
        <f>IF($A27="","",IFERROR(INDEX(Quotes!$AB$5:$AB$84,MATCH($A27&amp;"#2",Quotes!$AJ$5:$AJ$84,0)),""))</f>
      </c>
      <c r="J27" s="18">
        <f>IF(OR($F27="",$I27=""),"",$I27/$F27-1)</f>
      </c>
    </row>
    <row r="28">
      <c r="A28" s="17">
        <f>IF(Lines!$A28="","",Lines!$A28)</f>
      </c>
      <c r="B28" s="3">
        <f>IF($A28="","",Lines!$B28&amp;"")</f>
      </c>
      <c r="C28" s="17">
        <f>IF($A28="","",Lines!$D28)</f>
      </c>
      <c r="D28" s="17">
        <f>IF($A28="","",COUNTIFS(Quotes!$A$5:$A$84,$A28,Quotes!$AB$5:$AB$84,"&gt;0"))</f>
      </c>
      <c r="E28" s="20">
        <f>IF($A28="","",IF($D28=0,"No valid offer",IFERROR(INDEX(Quotes!$B$5:$B$84,MATCH($A28&amp;"#1",Quotes!$AJ$5:$AJ$84,0)),"")))</f>
      </c>
      <c r="F28" s="19">
        <f>IF($A28="","",IFERROR(INDEX(Quotes!$AB$5:$AB$84,MATCH($A28&amp;"#1",Quotes!$AJ$5:$AJ$84,0)),""))</f>
      </c>
      <c r="G28" s="15">
        <f>IF($A28="","",IFERROR(INDEX(Quotes!$AA$5:$AA$84,MATCH($A28&amp;"#1",Quotes!$AJ$5:$AJ$84,0)),""))</f>
      </c>
      <c r="H28" s="3">
        <f>IF($A28="","",IFERROR(INDEX(Quotes!$B$5:$B$84,MATCH($A28&amp;"#2",Quotes!$AJ$5:$AJ$84,0)),""))</f>
      </c>
      <c r="I28" s="16">
        <f>IF($A28="","",IFERROR(INDEX(Quotes!$AB$5:$AB$84,MATCH($A28&amp;"#2",Quotes!$AJ$5:$AJ$84,0)),""))</f>
      </c>
      <c r="J28" s="18">
        <f>IF(OR($F28="",$I28=""),"",$I28/$F28-1)</f>
      </c>
    </row>
    <row r="29">
      <c r="A29" s="17">
        <f>IF(Lines!$A29="","",Lines!$A29)</f>
      </c>
      <c r="B29" s="3">
        <f>IF($A29="","",Lines!$B29&amp;"")</f>
      </c>
      <c r="C29" s="17">
        <f>IF($A29="","",Lines!$D29)</f>
      </c>
      <c r="D29" s="17">
        <f>IF($A29="","",COUNTIFS(Quotes!$A$5:$A$84,$A29,Quotes!$AB$5:$AB$84,"&gt;0"))</f>
      </c>
      <c r="E29" s="20">
        <f>IF($A29="","",IF($D29=0,"No valid offer",IFERROR(INDEX(Quotes!$B$5:$B$84,MATCH($A29&amp;"#1",Quotes!$AJ$5:$AJ$84,0)),"")))</f>
      </c>
      <c r="F29" s="19">
        <f>IF($A29="","",IFERROR(INDEX(Quotes!$AB$5:$AB$84,MATCH($A29&amp;"#1",Quotes!$AJ$5:$AJ$84,0)),""))</f>
      </c>
      <c r="G29" s="15">
        <f>IF($A29="","",IFERROR(INDEX(Quotes!$AA$5:$AA$84,MATCH($A29&amp;"#1",Quotes!$AJ$5:$AJ$84,0)),""))</f>
      </c>
      <c r="H29" s="3">
        <f>IF($A29="","",IFERROR(INDEX(Quotes!$B$5:$B$84,MATCH($A29&amp;"#2",Quotes!$AJ$5:$AJ$84,0)),""))</f>
      </c>
      <c r="I29" s="16">
        <f>IF($A29="","",IFERROR(INDEX(Quotes!$AB$5:$AB$84,MATCH($A29&amp;"#2",Quotes!$AJ$5:$AJ$84,0)),""))</f>
      </c>
      <c r="J29" s="18">
        <f>IF(OR($F29="",$I29=""),"",$I29/$F29-1)</f>
      </c>
    </row>
    <row r="30">
      <c r="A30" s="17">
        <f>IF(Lines!$A30="","",Lines!$A30)</f>
      </c>
      <c r="B30" s="3">
        <f>IF($A30="","",Lines!$B30&amp;"")</f>
      </c>
      <c r="C30" s="17">
        <f>IF($A30="","",Lines!$D30)</f>
      </c>
      <c r="D30" s="17">
        <f>IF($A30="","",COUNTIFS(Quotes!$A$5:$A$84,$A30,Quotes!$AB$5:$AB$84,"&gt;0"))</f>
      </c>
      <c r="E30" s="20">
        <f>IF($A30="","",IF($D30=0,"No valid offer",IFERROR(INDEX(Quotes!$B$5:$B$84,MATCH($A30&amp;"#1",Quotes!$AJ$5:$AJ$84,0)),"")))</f>
      </c>
      <c r="F30" s="19">
        <f>IF($A30="","",IFERROR(INDEX(Quotes!$AB$5:$AB$84,MATCH($A30&amp;"#1",Quotes!$AJ$5:$AJ$84,0)),""))</f>
      </c>
      <c r="G30" s="15">
        <f>IF($A30="","",IFERROR(INDEX(Quotes!$AA$5:$AA$84,MATCH($A30&amp;"#1",Quotes!$AJ$5:$AJ$84,0)),""))</f>
      </c>
      <c r="H30" s="3">
        <f>IF($A30="","",IFERROR(INDEX(Quotes!$B$5:$B$84,MATCH($A30&amp;"#2",Quotes!$AJ$5:$AJ$84,0)),""))</f>
      </c>
      <c r="I30" s="16">
        <f>IF($A30="","",IFERROR(INDEX(Quotes!$AB$5:$AB$84,MATCH($A30&amp;"#2",Quotes!$AJ$5:$AJ$84,0)),""))</f>
      </c>
      <c r="J30" s="18">
        <f>IF(OR($F30="",$I30=""),"",$I30/$F30-1)</f>
      </c>
    </row>
    <row r="31">
      <c r="A31" s="17">
        <f>IF(Lines!$A31="","",Lines!$A31)</f>
      </c>
      <c r="B31" s="3">
        <f>IF($A31="","",Lines!$B31&amp;"")</f>
      </c>
      <c r="C31" s="17">
        <f>IF($A31="","",Lines!$D31)</f>
      </c>
      <c r="D31" s="17">
        <f>IF($A31="","",COUNTIFS(Quotes!$A$5:$A$84,$A31,Quotes!$AB$5:$AB$84,"&gt;0"))</f>
      </c>
      <c r="E31" s="20">
        <f>IF($A31="","",IF($D31=0,"No valid offer",IFERROR(INDEX(Quotes!$B$5:$B$84,MATCH($A31&amp;"#1",Quotes!$AJ$5:$AJ$84,0)),"")))</f>
      </c>
      <c r="F31" s="19">
        <f>IF($A31="","",IFERROR(INDEX(Quotes!$AB$5:$AB$84,MATCH($A31&amp;"#1",Quotes!$AJ$5:$AJ$84,0)),""))</f>
      </c>
      <c r="G31" s="15">
        <f>IF($A31="","",IFERROR(INDEX(Quotes!$AA$5:$AA$84,MATCH($A31&amp;"#1",Quotes!$AJ$5:$AJ$84,0)),""))</f>
      </c>
      <c r="H31" s="3">
        <f>IF($A31="","",IFERROR(INDEX(Quotes!$B$5:$B$84,MATCH($A31&amp;"#2",Quotes!$AJ$5:$AJ$84,0)),""))</f>
      </c>
      <c r="I31" s="16">
        <f>IF($A31="","",IFERROR(INDEX(Quotes!$AB$5:$AB$84,MATCH($A31&amp;"#2",Quotes!$AJ$5:$AJ$84,0)),""))</f>
      </c>
      <c r="J31" s="18">
        <f>IF(OR($F31="",$I31=""),"",$I31/$F31-1)</f>
      </c>
    </row>
    <row r="32">
      <c r="A32" s="17">
        <f>IF(Lines!$A32="","",Lines!$A32)</f>
      </c>
      <c r="B32" s="3">
        <f>IF($A32="","",Lines!$B32&amp;"")</f>
      </c>
      <c r="C32" s="17">
        <f>IF($A32="","",Lines!$D32)</f>
      </c>
      <c r="D32" s="17">
        <f>IF($A32="","",COUNTIFS(Quotes!$A$5:$A$84,$A32,Quotes!$AB$5:$AB$84,"&gt;0"))</f>
      </c>
      <c r="E32" s="20">
        <f>IF($A32="","",IF($D32=0,"No valid offer",IFERROR(INDEX(Quotes!$B$5:$B$84,MATCH($A32&amp;"#1",Quotes!$AJ$5:$AJ$84,0)),"")))</f>
      </c>
      <c r="F32" s="19">
        <f>IF($A32="","",IFERROR(INDEX(Quotes!$AB$5:$AB$84,MATCH($A32&amp;"#1",Quotes!$AJ$5:$AJ$84,0)),""))</f>
      </c>
      <c r="G32" s="15">
        <f>IF($A32="","",IFERROR(INDEX(Quotes!$AA$5:$AA$84,MATCH($A32&amp;"#1",Quotes!$AJ$5:$AJ$84,0)),""))</f>
      </c>
      <c r="H32" s="3">
        <f>IF($A32="","",IFERROR(INDEX(Quotes!$B$5:$B$84,MATCH($A32&amp;"#2",Quotes!$AJ$5:$AJ$84,0)),""))</f>
      </c>
      <c r="I32" s="16">
        <f>IF($A32="","",IFERROR(INDEX(Quotes!$AB$5:$AB$84,MATCH($A32&amp;"#2",Quotes!$AJ$5:$AJ$84,0)),""))</f>
      </c>
      <c r="J32" s="18">
        <f>IF(OR($F32="",$I32=""),"",$I32/$F32-1)</f>
      </c>
    </row>
    <row r="33">
      <c r="A33" s="17">
        <f>IF(Lines!$A33="","",Lines!$A33)</f>
      </c>
      <c r="B33" s="3">
        <f>IF($A33="","",Lines!$B33&amp;"")</f>
      </c>
      <c r="C33" s="17">
        <f>IF($A33="","",Lines!$D33)</f>
      </c>
      <c r="D33" s="17">
        <f>IF($A33="","",COUNTIFS(Quotes!$A$5:$A$84,$A33,Quotes!$AB$5:$AB$84,"&gt;0"))</f>
      </c>
      <c r="E33" s="20">
        <f>IF($A33="","",IF($D33=0,"No valid offer",IFERROR(INDEX(Quotes!$B$5:$B$84,MATCH($A33&amp;"#1",Quotes!$AJ$5:$AJ$84,0)),"")))</f>
      </c>
      <c r="F33" s="19">
        <f>IF($A33="","",IFERROR(INDEX(Quotes!$AB$5:$AB$84,MATCH($A33&amp;"#1",Quotes!$AJ$5:$AJ$84,0)),""))</f>
      </c>
      <c r="G33" s="15">
        <f>IF($A33="","",IFERROR(INDEX(Quotes!$AA$5:$AA$84,MATCH($A33&amp;"#1",Quotes!$AJ$5:$AJ$84,0)),""))</f>
      </c>
      <c r="H33" s="3">
        <f>IF($A33="","",IFERROR(INDEX(Quotes!$B$5:$B$84,MATCH($A33&amp;"#2",Quotes!$AJ$5:$AJ$84,0)),""))</f>
      </c>
      <c r="I33" s="16">
        <f>IF($A33="","",IFERROR(INDEX(Quotes!$AB$5:$AB$84,MATCH($A33&amp;"#2",Quotes!$AJ$5:$AJ$84,0)),""))</f>
      </c>
      <c r="J33" s="18">
        <f>IF(OR($F33="",$I33=""),"",$I33/$F33-1)</f>
      </c>
    </row>
    <row r="34">
      <c r="A34" s="17">
        <f>IF(Lines!$A34="","",Lines!$A34)</f>
      </c>
      <c r="B34" s="3">
        <f>IF($A34="","",Lines!$B34&amp;"")</f>
      </c>
      <c r="C34" s="17">
        <f>IF($A34="","",Lines!$D34)</f>
      </c>
      <c r="D34" s="17">
        <f>IF($A34="","",COUNTIFS(Quotes!$A$5:$A$84,$A34,Quotes!$AB$5:$AB$84,"&gt;0"))</f>
      </c>
      <c r="E34" s="20">
        <f>IF($A34="","",IF($D34=0,"No valid offer",IFERROR(INDEX(Quotes!$B$5:$B$84,MATCH($A34&amp;"#1",Quotes!$AJ$5:$AJ$84,0)),"")))</f>
      </c>
      <c r="F34" s="19">
        <f>IF($A34="","",IFERROR(INDEX(Quotes!$AB$5:$AB$84,MATCH($A34&amp;"#1",Quotes!$AJ$5:$AJ$84,0)),""))</f>
      </c>
      <c r="G34" s="15">
        <f>IF($A34="","",IFERROR(INDEX(Quotes!$AA$5:$AA$84,MATCH($A34&amp;"#1",Quotes!$AJ$5:$AJ$84,0)),""))</f>
      </c>
      <c r="H34" s="3">
        <f>IF($A34="","",IFERROR(INDEX(Quotes!$B$5:$B$84,MATCH($A34&amp;"#2",Quotes!$AJ$5:$AJ$84,0)),""))</f>
      </c>
      <c r="I34" s="16">
        <f>IF($A34="","",IFERROR(INDEX(Quotes!$AB$5:$AB$84,MATCH($A34&amp;"#2",Quotes!$AJ$5:$AJ$84,0)),""))</f>
      </c>
      <c r="J34" s="18">
        <f>IF(OR($F34="",$I34=""),"",$I34/$F34-1)</f>
      </c>
    </row>
    <row r="37">
      <c r="A37" s="2" t="inlineStr">
        <is>
          <t xml:space="preserve">Side by side: landed cost per unit needed</t>
        </is>
      </c>
    </row>
    <row r="38">
      <c r="A38" s="21" t="inlineStr">
        <is>
          <t xml:space="preserve">Line</t>
        </is>
      </c>
      <c r="B38" s="21" t="inlineStr">
        <is>
          <t xml:space="preserve">Item</t>
        </is>
      </c>
      <c r="C38" s="21">
        <f>IF(Suppliers!$A$5="","",Suppliers!$A$5)</f>
      </c>
      <c r="D38" s="21">
        <f>IF(Suppliers!$A$6="","",Suppliers!$A$6)</f>
      </c>
      <c r="E38" s="21">
        <f>IF(Suppliers!$A$7="","",Suppliers!$A$7)</f>
      </c>
      <c r="F38" s="21">
        <f>IF(Suppliers!$A$8="","",Suppliers!$A$8)</f>
      </c>
      <c r="G38" s="21">
        <f>IF(Suppliers!$A$9="","",Suppliers!$A$9)</f>
      </c>
      <c r="H38" s="21">
        <f>IF(Suppliers!$A$10="","",Suppliers!$A$10)</f>
      </c>
      <c r="I38" s="21">
        <f>IF(Suppliers!$A$11="","",Suppliers!$A$11)</f>
      </c>
      <c r="J38" s="21">
        <f>IF(Suppliers!$A$12="","",Suppliers!$A$12)</f>
      </c>
    </row>
    <row r="39">
      <c r="A39" s="17">
        <f>IF($A$5="","",$A$5)</f>
      </c>
      <c r="B39" s="3">
        <f>IF($A$5="","",$B$5)</f>
      </c>
      <c r="C39" s="16">
        <f>IF(OR($A39="",C$38=""),"",IF(COUNTIFS(Quotes!$A$5:$A$84,$A39,Quotes!$B$5:$B$84,C$38,Quotes!$AB$5:$AB$84,"&gt;0")=0,"—",SUMIFS(Quotes!$AB$5:$AB$84,Quotes!$A$5:$A$84,$A39,Quotes!$B$5:$B$84,C$38)))</f>
      </c>
      <c r="D39" s="16">
        <f>IF(OR($A39="",D$38=""),"",IF(COUNTIFS(Quotes!$A$5:$A$84,$A39,Quotes!$B$5:$B$84,D$38,Quotes!$AB$5:$AB$84,"&gt;0")=0,"—",SUMIFS(Quotes!$AB$5:$AB$84,Quotes!$A$5:$A$84,$A39,Quotes!$B$5:$B$84,D$38)))</f>
      </c>
      <c r="E39" s="16">
        <f>IF(OR($A39="",E$38=""),"",IF(COUNTIFS(Quotes!$A$5:$A$84,$A39,Quotes!$B$5:$B$84,E$38,Quotes!$AB$5:$AB$84,"&gt;0")=0,"—",SUMIFS(Quotes!$AB$5:$AB$84,Quotes!$A$5:$A$84,$A39,Quotes!$B$5:$B$84,E$38)))</f>
      </c>
      <c r="F39" s="16">
        <f>IF(OR($A39="",F$38=""),"",IF(COUNTIFS(Quotes!$A$5:$A$84,$A39,Quotes!$B$5:$B$84,F$38,Quotes!$AB$5:$AB$84,"&gt;0")=0,"—",SUMIFS(Quotes!$AB$5:$AB$84,Quotes!$A$5:$A$84,$A39,Quotes!$B$5:$B$84,F$38)))</f>
      </c>
      <c r="G39" s="16">
        <f>IF(OR($A39="",G$38=""),"",IF(COUNTIFS(Quotes!$A$5:$A$84,$A39,Quotes!$B$5:$B$84,G$38,Quotes!$AB$5:$AB$84,"&gt;0")=0,"—",SUMIFS(Quotes!$AB$5:$AB$84,Quotes!$A$5:$A$84,$A39,Quotes!$B$5:$B$84,G$38)))</f>
      </c>
      <c r="H39" s="16">
        <f>IF(OR($A39="",H$38=""),"",IF(COUNTIFS(Quotes!$A$5:$A$84,$A39,Quotes!$B$5:$B$84,H$38,Quotes!$AB$5:$AB$84,"&gt;0")=0,"—",SUMIFS(Quotes!$AB$5:$AB$84,Quotes!$A$5:$A$84,$A39,Quotes!$B$5:$B$84,H$38)))</f>
      </c>
      <c r="I39" s="16">
        <f>IF(OR($A39="",I$38=""),"",IF(COUNTIFS(Quotes!$A$5:$A$84,$A39,Quotes!$B$5:$B$84,I$38,Quotes!$AB$5:$AB$84,"&gt;0")=0,"—",SUMIFS(Quotes!$AB$5:$AB$84,Quotes!$A$5:$A$84,$A39,Quotes!$B$5:$B$84,I$38)))</f>
      </c>
      <c r="J39" s="16">
        <f>IF(OR($A39="",J$38=""),"",IF(COUNTIFS(Quotes!$A$5:$A$84,$A39,Quotes!$B$5:$B$84,J$38,Quotes!$AB$5:$AB$84,"&gt;0")=0,"—",SUMIFS(Quotes!$AB$5:$AB$84,Quotes!$A$5:$A$84,$A39,Quotes!$B$5:$B$84,J$38)))</f>
      </c>
    </row>
    <row r="40">
      <c r="A40" s="17">
        <f>IF($A$6="","",$A$6)</f>
      </c>
      <c r="B40" s="3">
        <f>IF($A$6="","",$B$6)</f>
      </c>
      <c r="C40" s="16">
        <f>IF(OR($A40="",C$38=""),"",IF(COUNTIFS(Quotes!$A$5:$A$84,$A40,Quotes!$B$5:$B$84,C$38,Quotes!$AB$5:$AB$84,"&gt;0")=0,"—",SUMIFS(Quotes!$AB$5:$AB$84,Quotes!$A$5:$A$84,$A40,Quotes!$B$5:$B$84,C$38)))</f>
      </c>
      <c r="D40" s="16">
        <f>IF(OR($A40="",D$38=""),"",IF(COUNTIFS(Quotes!$A$5:$A$84,$A40,Quotes!$B$5:$B$84,D$38,Quotes!$AB$5:$AB$84,"&gt;0")=0,"—",SUMIFS(Quotes!$AB$5:$AB$84,Quotes!$A$5:$A$84,$A40,Quotes!$B$5:$B$84,D$38)))</f>
      </c>
      <c r="E40" s="16">
        <f>IF(OR($A40="",E$38=""),"",IF(COUNTIFS(Quotes!$A$5:$A$84,$A40,Quotes!$B$5:$B$84,E$38,Quotes!$AB$5:$AB$84,"&gt;0")=0,"—",SUMIFS(Quotes!$AB$5:$AB$84,Quotes!$A$5:$A$84,$A40,Quotes!$B$5:$B$84,E$38)))</f>
      </c>
      <c r="F40" s="16">
        <f>IF(OR($A40="",F$38=""),"",IF(COUNTIFS(Quotes!$A$5:$A$84,$A40,Quotes!$B$5:$B$84,F$38,Quotes!$AB$5:$AB$84,"&gt;0")=0,"—",SUMIFS(Quotes!$AB$5:$AB$84,Quotes!$A$5:$A$84,$A40,Quotes!$B$5:$B$84,F$38)))</f>
      </c>
      <c r="G40" s="16">
        <f>IF(OR($A40="",G$38=""),"",IF(COUNTIFS(Quotes!$A$5:$A$84,$A40,Quotes!$B$5:$B$84,G$38,Quotes!$AB$5:$AB$84,"&gt;0")=0,"—",SUMIFS(Quotes!$AB$5:$AB$84,Quotes!$A$5:$A$84,$A40,Quotes!$B$5:$B$84,G$38)))</f>
      </c>
      <c r="H40" s="16">
        <f>IF(OR($A40="",H$38=""),"",IF(COUNTIFS(Quotes!$A$5:$A$84,$A40,Quotes!$B$5:$B$84,H$38,Quotes!$AB$5:$AB$84,"&gt;0")=0,"—",SUMIFS(Quotes!$AB$5:$AB$84,Quotes!$A$5:$A$84,$A40,Quotes!$B$5:$B$84,H$38)))</f>
      </c>
      <c r="I40" s="16">
        <f>IF(OR($A40="",I$38=""),"",IF(COUNTIFS(Quotes!$A$5:$A$84,$A40,Quotes!$B$5:$B$84,I$38,Quotes!$AB$5:$AB$84,"&gt;0")=0,"—",SUMIFS(Quotes!$AB$5:$AB$84,Quotes!$A$5:$A$84,$A40,Quotes!$B$5:$B$84,I$38)))</f>
      </c>
      <c r="J40" s="16">
        <f>IF(OR($A40="",J$38=""),"",IF(COUNTIFS(Quotes!$A$5:$A$84,$A40,Quotes!$B$5:$B$84,J$38,Quotes!$AB$5:$AB$84,"&gt;0")=0,"—",SUMIFS(Quotes!$AB$5:$AB$84,Quotes!$A$5:$A$84,$A40,Quotes!$B$5:$B$84,J$38)))</f>
      </c>
    </row>
    <row r="41">
      <c r="A41" s="17">
        <f>IF($A$7="","",$A$7)</f>
      </c>
      <c r="B41" s="3">
        <f>IF($A$7="","",$B$7)</f>
      </c>
      <c r="C41" s="16">
        <f>IF(OR($A41="",C$38=""),"",IF(COUNTIFS(Quotes!$A$5:$A$84,$A41,Quotes!$B$5:$B$84,C$38,Quotes!$AB$5:$AB$84,"&gt;0")=0,"—",SUMIFS(Quotes!$AB$5:$AB$84,Quotes!$A$5:$A$84,$A41,Quotes!$B$5:$B$84,C$38)))</f>
      </c>
      <c r="D41" s="16">
        <f>IF(OR($A41="",D$38=""),"",IF(COUNTIFS(Quotes!$A$5:$A$84,$A41,Quotes!$B$5:$B$84,D$38,Quotes!$AB$5:$AB$84,"&gt;0")=0,"—",SUMIFS(Quotes!$AB$5:$AB$84,Quotes!$A$5:$A$84,$A41,Quotes!$B$5:$B$84,D$38)))</f>
      </c>
      <c r="E41" s="16">
        <f>IF(OR($A41="",E$38=""),"",IF(COUNTIFS(Quotes!$A$5:$A$84,$A41,Quotes!$B$5:$B$84,E$38,Quotes!$AB$5:$AB$84,"&gt;0")=0,"—",SUMIFS(Quotes!$AB$5:$AB$84,Quotes!$A$5:$A$84,$A41,Quotes!$B$5:$B$84,E$38)))</f>
      </c>
      <c r="F41" s="16">
        <f>IF(OR($A41="",F$38=""),"",IF(COUNTIFS(Quotes!$A$5:$A$84,$A41,Quotes!$B$5:$B$84,F$38,Quotes!$AB$5:$AB$84,"&gt;0")=0,"—",SUMIFS(Quotes!$AB$5:$AB$84,Quotes!$A$5:$A$84,$A41,Quotes!$B$5:$B$84,F$38)))</f>
      </c>
      <c r="G41" s="16">
        <f>IF(OR($A41="",G$38=""),"",IF(COUNTIFS(Quotes!$A$5:$A$84,$A41,Quotes!$B$5:$B$84,G$38,Quotes!$AB$5:$AB$84,"&gt;0")=0,"—",SUMIFS(Quotes!$AB$5:$AB$84,Quotes!$A$5:$A$84,$A41,Quotes!$B$5:$B$84,G$38)))</f>
      </c>
      <c r="H41" s="16">
        <f>IF(OR($A41="",H$38=""),"",IF(COUNTIFS(Quotes!$A$5:$A$84,$A41,Quotes!$B$5:$B$84,H$38,Quotes!$AB$5:$AB$84,"&gt;0")=0,"—",SUMIFS(Quotes!$AB$5:$AB$84,Quotes!$A$5:$A$84,$A41,Quotes!$B$5:$B$84,H$38)))</f>
      </c>
      <c r="I41" s="16">
        <f>IF(OR($A41="",I$38=""),"",IF(COUNTIFS(Quotes!$A$5:$A$84,$A41,Quotes!$B$5:$B$84,I$38,Quotes!$AB$5:$AB$84,"&gt;0")=0,"—",SUMIFS(Quotes!$AB$5:$AB$84,Quotes!$A$5:$A$84,$A41,Quotes!$B$5:$B$84,I$38)))</f>
      </c>
      <c r="J41" s="16">
        <f>IF(OR($A41="",J$38=""),"",IF(COUNTIFS(Quotes!$A$5:$A$84,$A41,Quotes!$B$5:$B$84,J$38,Quotes!$AB$5:$AB$84,"&gt;0")=0,"—",SUMIFS(Quotes!$AB$5:$AB$84,Quotes!$A$5:$A$84,$A41,Quotes!$B$5:$B$84,J$38)))</f>
      </c>
    </row>
    <row r="42">
      <c r="A42" s="17">
        <f>IF($A$8="","",$A$8)</f>
      </c>
      <c r="B42" s="3">
        <f>IF($A$8="","",$B$8)</f>
      </c>
      <c r="C42" s="16">
        <f>IF(OR($A42="",C$38=""),"",IF(COUNTIFS(Quotes!$A$5:$A$84,$A42,Quotes!$B$5:$B$84,C$38,Quotes!$AB$5:$AB$84,"&gt;0")=0,"—",SUMIFS(Quotes!$AB$5:$AB$84,Quotes!$A$5:$A$84,$A42,Quotes!$B$5:$B$84,C$38)))</f>
      </c>
      <c r="D42" s="16">
        <f>IF(OR($A42="",D$38=""),"",IF(COUNTIFS(Quotes!$A$5:$A$84,$A42,Quotes!$B$5:$B$84,D$38,Quotes!$AB$5:$AB$84,"&gt;0")=0,"—",SUMIFS(Quotes!$AB$5:$AB$84,Quotes!$A$5:$A$84,$A42,Quotes!$B$5:$B$84,D$38)))</f>
      </c>
      <c r="E42" s="16">
        <f>IF(OR($A42="",E$38=""),"",IF(COUNTIFS(Quotes!$A$5:$A$84,$A42,Quotes!$B$5:$B$84,E$38,Quotes!$AB$5:$AB$84,"&gt;0")=0,"—",SUMIFS(Quotes!$AB$5:$AB$84,Quotes!$A$5:$A$84,$A42,Quotes!$B$5:$B$84,E$38)))</f>
      </c>
      <c r="F42" s="16">
        <f>IF(OR($A42="",F$38=""),"",IF(COUNTIFS(Quotes!$A$5:$A$84,$A42,Quotes!$B$5:$B$84,F$38,Quotes!$AB$5:$AB$84,"&gt;0")=0,"—",SUMIFS(Quotes!$AB$5:$AB$84,Quotes!$A$5:$A$84,$A42,Quotes!$B$5:$B$84,F$38)))</f>
      </c>
      <c r="G42" s="16">
        <f>IF(OR($A42="",G$38=""),"",IF(COUNTIFS(Quotes!$A$5:$A$84,$A42,Quotes!$B$5:$B$84,G$38,Quotes!$AB$5:$AB$84,"&gt;0")=0,"—",SUMIFS(Quotes!$AB$5:$AB$84,Quotes!$A$5:$A$84,$A42,Quotes!$B$5:$B$84,G$38)))</f>
      </c>
      <c r="H42" s="16">
        <f>IF(OR($A42="",H$38=""),"",IF(COUNTIFS(Quotes!$A$5:$A$84,$A42,Quotes!$B$5:$B$84,H$38,Quotes!$AB$5:$AB$84,"&gt;0")=0,"—",SUMIFS(Quotes!$AB$5:$AB$84,Quotes!$A$5:$A$84,$A42,Quotes!$B$5:$B$84,H$38)))</f>
      </c>
      <c r="I42" s="16">
        <f>IF(OR($A42="",I$38=""),"",IF(COUNTIFS(Quotes!$A$5:$A$84,$A42,Quotes!$B$5:$B$84,I$38,Quotes!$AB$5:$AB$84,"&gt;0")=0,"—",SUMIFS(Quotes!$AB$5:$AB$84,Quotes!$A$5:$A$84,$A42,Quotes!$B$5:$B$84,I$38)))</f>
      </c>
      <c r="J42" s="16">
        <f>IF(OR($A42="",J$38=""),"",IF(COUNTIFS(Quotes!$A$5:$A$84,$A42,Quotes!$B$5:$B$84,J$38,Quotes!$AB$5:$AB$84,"&gt;0")=0,"—",SUMIFS(Quotes!$AB$5:$AB$84,Quotes!$A$5:$A$84,$A42,Quotes!$B$5:$B$84,J$38)))</f>
      </c>
    </row>
    <row r="43">
      <c r="A43" s="17">
        <f>IF($A$9="","",$A$9)</f>
      </c>
      <c r="B43" s="3">
        <f>IF($A$9="","",$B$9)</f>
      </c>
      <c r="C43" s="16">
        <f>IF(OR($A43="",C$38=""),"",IF(COUNTIFS(Quotes!$A$5:$A$84,$A43,Quotes!$B$5:$B$84,C$38,Quotes!$AB$5:$AB$84,"&gt;0")=0,"—",SUMIFS(Quotes!$AB$5:$AB$84,Quotes!$A$5:$A$84,$A43,Quotes!$B$5:$B$84,C$38)))</f>
      </c>
      <c r="D43" s="16">
        <f>IF(OR($A43="",D$38=""),"",IF(COUNTIFS(Quotes!$A$5:$A$84,$A43,Quotes!$B$5:$B$84,D$38,Quotes!$AB$5:$AB$84,"&gt;0")=0,"—",SUMIFS(Quotes!$AB$5:$AB$84,Quotes!$A$5:$A$84,$A43,Quotes!$B$5:$B$84,D$38)))</f>
      </c>
      <c r="E43" s="16">
        <f>IF(OR($A43="",E$38=""),"",IF(COUNTIFS(Quotes!$A$5:$A$84,$A43,Quotes!$B$5:$B$84,E$38,Quotes!$AB$5:$AB$84,"&gt;0")=0,"—",SUMIFS(Quotes!$AB$5:$AB$84,Quotes!$A$5:$A$84,$A43,Quotes!$B$5:$B$84,E$38)))</f>
      </c>
      <c r="F43" s="16">
        <f>IF(OR($A43="",F$38=""),"",IF(COUNTIFS(Quotes!$A$5:$A$84,$A43,Quotes!$B$5:$B$84,F$38,Quotes!$AB$5:$AB$84,"&gt;0")=0,"—",SUMIFS(Quotes!$AB$5:$AB$84,Quotes!$A$5:$A$84,$A43,Quotes!$B$5:$B$84,F$38)))</f>
      </c>
      <c r="G43" s="16">
        <f>IF(OR($A43="",G$38=""),"",IF(COUNTIFS(Quotes!$A$5:$A$84,$A43,Quotes!$B$5:$B$84,G$38,Quotes!$AB$5:$AB$84,"&gt;0")=0,"—",SUMIFS(Quotes!$AB$5:$AB$84,Quotes!$A$5:$A$84,$A43,Quotes!$B$5:$B$84,G$38)))</f>
      </c>
      <c r="H43" s="16">
        <f>IF(OR($A43="",H$38=""),"",IF(COUNTIFS(Quotes!$A$5:$A$84,$A43,Quotes!$B$5:$B$84,H$38,Quotes!$AB$5:$AB$84,"&gt;0")=0,"—",SUMIFS(Quotes!$AB$5:$AB$84,Quotes!$A$5:$A$84,$A43,Quotes!$B$5:$B$84,H$38)))</f>
      </c>
      <c r="I43" s="16">
        <f>IF(OR($A43="",I$38=""),"",IF(COUNTIFS(Quotes!$A$5:$A$84,$A43,Quotes!$B$5:$B$84,I$38,Quotes!$AB$5:$AB$84,"&gt;0")=0,"—",SUMIFS(Quotes!$AB$5:$AB$84,Quotes!$A$5:$A$84,$A43,Quotes!$B$5:$B$84,I$38)))</f>
      </c>
      <c r="J43" s="16">
        <f>IF(OR($A43="",J$38=""),"",IF(COUNTIFS(Quotes!$A$5:$A$84,$A43,Quotes!$B$5:$B$84,J$38,Quotes!$AB$5:$AB$84,"&gt;0")=0,"—",SUMIFS(Quotes!$AB$5:$AB$84,Quotes!$A$5:$A$84,$A43,Quotes!$B$5:$B$84,J$38)))</f>
      </c>
    </row>
    <row r="44">
      <c r="A44" s="17">
        <f>IF($A$10="","",$A$10)</f>
      </c>
      <c r="B44" s="3">
        <f>IF($A$10="","",$B$10)</f>
      </c>
      <c r="C44" s="16">
        <f>IF(OR($A44="",C$38=""),"",IF(COUNTIFS(Quotes!$A$5:$A$84,$A44,Quotes!$B$5:$B$84,C$38,Quotes!$AB$5:$AB$84,"&gt;0")=0,"—",SUMIFS(Quotes!$AB$5:$AB$84,Quotes!$A$5:$A$84,$A44,Quotes!$B$5:$B$84,C$38)))</f>
      </c>
      <c r="D44" s="16">
        <f>IF(OR($A44="",D$38=""),"",IF(COUNTIFS(Quotes!$A$5:$A$84,$A44,Quotes!$B$5:$B$84,D$38,Quotes!$AB$5:$AB$84,"&gt;0")=0,"—",SUMIFS(Quotes!$AB$5:$AB$84,Quotes!$A$5:$A$84,$A44,Quotes!$B$5:$B$84,D$38)))</f>
      </c>
      <c r="E44" s="16">
        <f>IF(OR($A44="",E$38=""),"",IF(COUNTIFS(Quotes!$A$5:$A$84,$A44,Quotes!$B$5:$B$84,E$38,Quotes!$AB$5:$AB$84,"&gt;0")=0,"—",SUMIFS(Quotes!$AB$5:$AB$84,Quotes!$A$5:$A$84,$A44,Quotes!$B$5:$B$84,E$38)))</f>
      </c>
      <c r="F44" s="16">
        <f>IF(OR($A44="",F$38=""),"",IF(COUNTIFS(Quotes!$A$5:$A$84,$A44,Quotes!$B$5:$B$84,F$38,Quotes!$AB$5:$AB$84,"&gt;0")=0,"—",SUMIFS(Quotes!$AB$5:$AB$84,Quotes!$A$5:$A$84,$A44,Quotes!$B$5:$B$84,F$38)))</f>
      </c>
      <c r="G44" s="16">
        <f>IF(OR($A44="",G$38=""),"",IF(COUNTIFS(Quotes!$A$5:$A$84,$A44,Quotes!$B$5:$B$84,G$38,Quotes!$AB$5:$AB$84,"&gt;0")=0,"—",SUMIFS(Quotes!$AB$5:$AB$84,Quotes!$A$5:$A$84,$A44,Quotes!$B$5:$B$84,G$38)))</f>
      </c>
      <c r="H44" s="16">
        <f>IF(OR($A44="",H$38=""),"",IF(COUNTIFS(Quotes!$A$5:$A$84,$A44,Quotes!$B$5:$B$84,H$38,Quotes!$AB$5:$AB$84,"&gt;0")=0,"—",SUMIFS(Quotes!$AB$5:$AB$84,Quotes!$A$5:$A$84,$A44,Quotes!$B$5:$B$84,H$38)))</f>
      </c>
      <c r="I44" s="16">
        <f>IF(OR($A44="",I$38=""),"",IF(COUNTIFS(Quotes!$A$5:$A$84,$A44,Quotes!$B$5:$B$84,I$38,Quotes!$AB$5:$AB$84,"&gt;0")=0,"—",SUMIFS(Quotes!$AB$5:$AB$84,Quotes!$A$5:$A$84,$A44,Quotes!$B$5:$B$84,I$38)))</f>
      </c>
      <c r="J44" s="16">
        <f>IF(OR($A44="",J$38=""),"",IF(COUNTIFS(Quotes!$A$5:$A$84,$A44,Quotes!$B$5:$B$84,J$38,Quotes!$AB$5:$AB$84,"&gt;0")=0,"—",SUMIFS(Quotes!$AB$5:$AB$84,Quotes!$A$5:$A$84,$A44,Quotes!$B$5:$B$84,J$38)))</f>
      </c>
    </row>
    <row r="45">
      <c r="A45" s="17">
        <f>IF($A$11="","",$A$11)</f>
      </c>
      <c r="B45" s="3">
        <f>IF($A$11="","",$B$11)</f>
      </c>
      <c r="C45" s="16">
        <f>IF(OR($A45="",C$38=""),"",IF(COUNTIFS(Quotes!$A$5:$A$84,$A45,Quotes!$B$5:$B$84,C$38,Quotes!$AB$5:$AB$84,"&gt;0")=0,"—",SUMIFS(Quotes!$AB$5:$AB$84,Quotes!$A$5:$A$84,$A45,Quotes!$B$5:$B$84,C$38)))</f>
      </c>
      <c r="D45" s="16">
        <f>IF(OR($A45="",D$38=""),"",IF(COUNTIFS(Quotes!$A$5:$A$84,$A45,Quotes!$B$5:$B$84,D$38,Quotes!$AB$5:$AB$84,"&gt;0")=0,"—",SUMIFS(Quotes!$AB$5:$AB$84,Quotes!$A$5:$A$84,$A45,Quotes!$B$5:$B$84,D$38)))</f>
      </c>
      <c r="E45" s="16">
        <f>IF(OR($A45="",E$38=""),"",IF(COUNTIFS(Quotes!$A$5:$A$84,$A45,Quotes!$B$5:$B$84,E$38,Quotes!$AB$5:$AB$84,"&gt;0")=0,"—",SUMIFS(Quotes!$AB$5:$AB$84,Quotes!$A$5:$A$84,$A45,Quotes!$B$5:$B$84,E$38)))</f>
      </c>
      <c r="F45" s="16">
        <f>IF(OR($A45="",F$38=""),"",IF(COUNTIFS(Quotes!$A$5:$A$84,$A45,Quotes!$B$5:$B$84,F$38,Quotes!$AB$5:$AB$84,"&gt;0")=0,"—",SUMIFS(Quotes!$AB$5:$AB$84,Quotes!$A$5:$A$84,$A45,Quotes!$B$5:$B$84,F$38)))</f>
      </c>
      <c r="G45" s="16">
        <f>IF(OR($A45="",G$38=""),"",IF(COUNTIFS(Quotes!$A$5:$A$84,$A45,Quotes!$B$5:$B$84,G$38,Quotes!$AB$5:$AB$84,"&gt;0")=0,"—",SUMIFS(Quotes!$AB$5:$AB$84,Quotes!$A$5:$A$84,$A45,Quotes!$B$5:$B$84,G$38)))</f>
      </c>
      <c r="H45" s="16">
        <f>IF(OR($A45="",H$38=""),"",IF(COUNTIFS(Quotes!$A$5:$A$84,$A45,Quotes!$B$5:$B$84,H$38,Quotes!$AB$5:$AB$84,"&gt;0")=0,"—",SUMIFS(Quotes!$AB$5:$AB$84,Quotes!$A$5:$A$84,$A45,Quotes!$B$5:$B$84,H$38)))</f>
      </c>
      <c r="I45" s="16">
        <f>IF(OR($A45="",I$38=""),"",IF(COUNTIFS(Quotes!$A$5:$A$84,$A45,Quotes!$B$5:$B$84,I$38,Quotes!$AB$5:$AB$84,"&gt;0")=0,"—",SUMIFS(Quotes!$AB$5:$AB$84,Quotes!$A$5:$A$84,$A45,Quotes!$B$5:$B$84,I$38)))</f>
      </c>
      <c r="J45" s="16">
        <f>IF(OR($A45="",J$38=""),"",IF(COUNTIFS(Quotes!$A$5:$A$84,$A45,Quotes!$B$5:$B$84,J$38,Quotes!$AB$5:$AB$84,"&gt;0")=0,"—",SUMIFS(Quotes!$AB$5:$AB$84,Quotes!$A$5:$A$84,$A45,Quotes!$B$5:$B$84,J$38)))</f>
      </c>
    </row>
    <row r="46">
      <c r="A46" s="17">
        <f>IF($A$12="","",$A$12)</f>
      </c>
      <c r="B46" s="3">
        <f>IF($A$12="","",$B$12)</f>
      </c>
      <c r="C46" s="16">
        <f>IF(OR($A46="",C$38=""),"",IF(COUNTIFS(Quotes!$A$5:$A$84,$A46,Quotes!$B$5:$B$84,C$38,Quotes!$AB$5:$AB$84,"&gt;0")=0,"—",SUMIFS(Quotes!$AB$5:$AB$84,Quotes!$A$5:$A$84,$A46,Quotes!$B$5:$B$84,C$38)))</f>
      </c>
      <c r="D46" s="16">
        <f>IF(OR($A46="",D$38=""),"",IF(COUNTIFS(Quotes!$A$5:$A$84,$A46,Quotes!$B$5:$B$84,D$38,Quotes!$AB$5:$AB$84,"&gt;0")=0,"—",SUMIFS(Quotes!$AB$5:$AB$84,Quotes!$A$5:$A$84,$A46,Quotes!$B$5:$B$84,D$38)))</f>
      </c>
      <c r="E46" s="16">
        <f>IF(OR($A46="",E$38=""),"",IF(COUNTIFS(Quotes!$A$5:$A$84,$A46,Quotes!$B$5:$B$84,E$38,Quotes!$AB$5:$AB$84,"&gt;0")=0,"—",SUMIFS(Quotes!$AB$5:$AB$84,Quotes!$A$5:$A$84,$A46,Quotes!$B$5:$B$84,E$38)))</f>
      </c>
      <c r="F46" s="16">
        <f>IF(OR($A46="",F$38=""),"",IF(COUNTIFS(Quotes!$A$5:$A$84,$A46,Quotes!$B$5:$B$84,F$38,Quotes!$AB$5:$AB$84,"&gt;0")=0,"—",SUMIFS(Quotes!$AB$5:$AB$84,Quotes!$A$5:$A$84,$A46,Quotes!$B$5:$B$84,F$38)))</f>
      </c>
      <c r="G46" s="16">
        <f>IF(OR($A46="",G$38=""),"",IF(COUNTIFS(Quotes!$A$5:$A$84,$A46,Quotes!$B$5:$B$84,G$38,Quotes!$AB$5:$AB$84,"&gt;0")=0,"—",SUMIFS(Quotes!$AB$5:$AB$84,Quotes!$A$5:$A$84,$A46,Quotes!$B$5:$B$84,G$38)))</f>
      </c>
      <c r="H46" s="16">
        <f>IF(OR($A46="",H$38=""),"",IF(COUNTIFS(Quotes!$A$5:$A$84,$A46,Quotes!$B$5:$B$84,H$38,Quotes!$AB$5:$AB$84,"&gt;0")=0,"—",SUMIFS(Quotes!$AB$5:$AB$84,Quotes!$A$5:$A$84,$A46,Quotes!$B$5:$B$84,H$38)))</f>
      </c>
      <c r="I46" s="16">
        <f>IF(OR($A46="",I$38=""),"",IF(COUNTIFS(Quotes!$A$5:$A$84,$A46,Quotes!$B$5:$B$84,I$38,Quotes!$AB$5:$AB$84,"&gt;0")=0,"—",SUMIFS(Quotes!$AB$5:$AB$84,Quotes!$A$5:$A$84,$A46,Quotes!$B$5:$B$84,I$38)))</f>
      </c>
      <c r="J46" s="16">
        <f>IF(OR($A46="",J$38=""),"",IF(COUNTIFS(Quotes!$A$5:$A$84,$A46,Quotes!$B$5:$B$84,J$38,Quotes!$AB$5:$AB$84,"&gt;0")=0,"—",SUMIFS(Quotes!$AB$5:$AB$84,Quotes!$A$5:$A$84,$A46,Quotes!$B$5:$B$84,J$38)))</f>
      </c>
    </row>
    <row r="47">
      <c r="A47" s="17">
        <f>IF($A$13="","",$A$13)</f>
      </c>
      <c r="B47" s="3">
        <f>IF($A$13="","",$B$13)</f>
      </c>
      <c r="C47" s="16">
        <f>IF(OR($A47="",C$38=""),"",IF(COUNTIFS(Quotes!$A$5:$A$84,$A47,Quotes!$B$5:$B$84,C$38,Quotes!$AB$5:$AB$84,"&gt;0")=0,"—",SUMIFS(Quotes!$AB$5:$AB$84,Quotes!$A$5:$A$84,$A47,Quotes!$B$5:$B$84,C$38)))</f>
      </c>
      <c r="D47" s="16">
        <f>IF(OR($A47="",D$38=""),"",IF(COUNTIFS(Quotes!$A$5:$A$84,$A47,Quotes!$B$5:$B$84,D$38,Quotes!$AB$5:$AB$84,"&gt;0")=0,"—",SUMIFS(Quotes!$AB$5:$AB$84,Quotes!$A$5:$A$84,$A47,Quotes!$B$5:$B$84,D$38)))</f>
      </c>
      <c r="E47" s="16">
        <f>IF(OR($A47="",E$38=""),"",IF(COUNTIFS(Quotes!$A$5:$A$84,$A47,Quotes!$B$5:$B$84,E$38,Quotes!$AB$5:$AB$84,"&gt;0")=0,"—",SUMIFS(Quotes!$AB$5:$AB$84,Quotes!$A$5:$A$84,$A47,Quotes!$B$5:$B$84,E$38)))</f>
      </c>
      <c r="F47" s="16">
        <f>IF(OR($A47="",F$38=""),"",IF(COUNTIFS(Quotes!$A$5:$A$84,$A47,Quotes!$B$5:$B$84,F$38,Quotes!$AB$5:$AB$84,"&gt;0")=0,"—",SUMIFS(Quotes!$AB$5:$AB$84,Quotes!$A$5:$A$84,$A47,Quotes!$B$5:$B$84,F$38)))</f>
      </c>
      <c r="G47" s="16">
        <f>IF(OR($A47="",G$38=""),"",IF(COUNTIFS(Quotes!$A$5:$A$84,$A47,Quotes!$B$5:$B$84,G$38,Quotes!$AB$5:$AB$84,"&gt;0")=0,"—",SUMIFS(Quotes!$AB$5:$AB$84,Quotes!$A$5:$A$84,$A47,Quotes!$B$5:$B$84,G$38)))</f>
      </c>
      <c r="H47" s="16">
        <f>IF(OR($A47="",H$38=""),"",IF(COUNTIFS(Quotes!$A$5:$A$84,$A47,Quotes!$B$5:$B$84,H$38,Quotes!$AB$5:$AB$84,"&gt;0")=0,"—",SUMIFS(Quotes!$AB$5:$AB$84,Quotes!$A$5:$A$84,$A47,Quotes!$B$5:$B$84,H$38)))</f>
      </c>
      <c r="I47" s="16">
        <f>IF(OR($A47="",I$38=""),"",IF(COUNTIFS(Quotes!$A$5:$A$84,$A47,Quotes!$B$5:$B$84,I$38,Quotes!$AB$5:$AB$84,"&gt;0")=0,"—",SUMIFS(Quotes!$AB$5:$AB$84,Quotes!$A$5:$A$84,$A47,Quotes!$B$5:$B$84,I$38)))</f>
      </c>
      <c r="J47" s="16">
        <f>IF(OR($A47="",J$38=""),"",IF(COUNTIFS(Quotes!$A$5:$A$84,$A47,Quotes!$B$5:$B$84,J$38,Quotes!$AB$5:$AB$84,"&gt;0")=0,"—",SUMIFS(Quotes!$AB$5:$AB$84,Quotes!$A$5:$A$84,$A47,Quotes!$B$5:$B$84,J$38)))</f>
      </c>
    </row>
    <row r="48">
      <c r="A48" s="17">
        <f>IF($A$14="","",$A$14)</f>
      </c>
      <c r="B48" s="3">
        <f>IF($A$14="","",$B$14)</f>
      </c>
      <c r="C48" s="16">
        <f>IF(OR($A48="",C$38=""),"",IF(COUNTIFS(Quotes!$A$5:$A$84,$A48,Quotes!$B$5:$B$84,C$38,Quotes!$AB$5:$AB$84,"&gt;0")=0,"—",SUMIFS(Quotes!$AB$5:$AB$84,Quotes!$A$5:$A$84,$A48,Quotes!$B$5:$B$84,C$38)))</f>
      </c>
      <c r="D48" s="16">
        <f>IF(OR($A48="",D$38=""),"",IF(COUNTIFS(Quotes!$A$5:$A$84,$A48,Quotes!$B$5:$B$84,D$38,Quotes!$AB$5:$AB$84,"&gt;0")=0,"—",SUMIFS(Quotes!$AB$5:$AB$84,Quotes!$A$5:$A$84,$A48,Quotes!$B$5:$B$84,D$38)))</f>
      </c>
      <c r="E48" s="16">
        <f>IF(OR($A48="",E$38=""),"",IF(COUNTIFS(Quotes!$A$5:$A$84,$A48,Quotes!$B$5:$B$84,E$38,Quotes!$AB$5:$AB$84,"&gt;0")=0,"—",SUMIFS(Quotes!$AB$5:$AB$84,Quotes!$A$5:$A$84,$A48,Quotes!$B$5:$B$84,E$38)))</f>
      </c>
      <c r="F48" s="16">
        <f>IF(OR($A48="",F$38=""),"",IF(COUNTIFS(Quotes!$A$5:$A$84,$A48,Quotes!$B$5:$B$84,F$38,Quotes!$AB$5:$AB$84,"&gt;0")=0,"—",SUMIFS(Quotes!$AB$5:$AB$84,Quotes!$A$5:$A$84,$A48,Quotes!$B$5:$B$84,F$38)))</f>
      </c>
      <c r="G48" s="16">
        <f>IF(OR($A48="",G$38=""),"",IF(COUNTIFS(Quotes!$A$5:$A$84,$A48,Quotes!$B$5:$B$84,G$38,Quotes!$AB$5:$AB$84,"&gt;0")=0,"—",SUMIFS(Quotes!$AB$5:$AB$84,Quotes!$A$5:$A$84,$A48,Quotes!$B$5:$B$84,G$38)))</f>
      </c>
      <c r="H48" s="16">
        <f>IF(OR($A48="",H$38=""),"",IF(COUNTIFS(Quotes!$A$5:$A$84,$A48,Quotes!$B$5:$B$84,H$38,Quotes!$AB$5:$AB$84,"&gt;0")=0,"—",SUMIFS(Quotes!$AB$5:$AB$84,Quotes!$A$5:$A$84,$A48,Quotes!$B$5:$B$84,H$38)))</f>
      </c>
      <c r="I48" s="16">
        <f>IF(OR($A48="",I$38=""),"",IF(COUNTIFS(Quotes!$A$5:$A$84,$A48,Quotes!$B$5:$B$84,I$38,Quotes!$AB$5:$AB$84,"&gt;0")=0,"—",SUMIFS(Quotes!$AB$5:$AB$84,Quotes!$A$5:$A$84,$A48,Quotes!$B$5:$B$84,I$38)))</f>
      </c>
      <c r="J48" s="16">
        <f>IF(OR($A48="",J$38=""),"",IF(COUNTIFS(Quotes!$A$5:$A$84,$A48,Quotes!$B$5:$B$84,J$38,Quotes!$AB$5:$AB$84,"&gt;0")=0,"—",SUMIFS(Quotes!$AB$5:$AB$84,Quotes!$A$5:$A$84,$A48,Quotes!$B$5:$B$84,J$38)))</f>
      </c>
    </row>
    <row r="49">
      <c r="A49" s="17">
        <f>IF($A$15="","",$A$15)</f>
      </c>
      <c r="B49" s="3">
        <f>IF($A$15="","",$B$15)</f>
      </c>
      <c r="C49" s="16">
        <f>IF(OR($A49="",C$38=""),"",IF(COUNTIFS(Quotes!$A$5:$A$84,$A49,Quotes!$B$5:$B$84,C$38,Quotes!$AB$5:$AB$84,"&gt;0")=0,"—",SUMIFS(Quotes!$AB$5:$AB$84,Quotes!$A$5:$A$84,$A49,Quotes!$B$5:$B$84,C$38)))</f>
      </c>
      <c r="D49" s="16">
        <f>IF(OR($A49="",D$38=""),"",IF(COUNTIFS(Quotes!$A$5:$A$84,$A49,Quotes!$B$5:$B$84,D$38,Quotes!$AB$5:$AB$84,"&gt;0")=0,"—",SUMIFS(Quotes!$AB$5:$AB$84,Quotes!$A$5:$A$84,$A49,Quotes!$B$5:$B$84,D$38)))</f>
      </c>
      <c r="E49" s="16">
        <f>IF(OR($A49="",E$38=""),"",IF(COUNTIFS(Quotes!$A$5:$A$84,$A49,Quotes!$B$5:$B$84,E$38,Quotes!$AB$5:$AB$84,"&gt;0")=0,"—",SUMIFS(Quotes!$AB$5:$AB$84,Quotes!$A$5:$A$84,$A49,Quotes!$B$5:$B$84,E$38)))</f>
      </c>
      <c r="F49" s="16">
        <f>IF(OR($A49="",F$38=""),"",IF(COUNTIFS(Quotes!$A$5:$A$84,$A49,Quotes!$B$5:$B$84,F$38,Quotes!$AB$5:$AB$84,"&gt;0")=0,"—",SUMIFS(Quotes!$AB$5:$AB$84,Quotes!$A$5:$A$84,$A49,Quotes!$B$5:$B$84,F$38)))</f>
      </c>
      <c r="G49" s="16">
        <f>IF(OR($A49="",G$38=""),"",IF(COUNTIFS(Quotes!$A$5:$A$84,$A49,Quotes!$B$5:$B$84,G$38,Quotes!$AB$5:$AB$84,"&gt;0")=0,"—",SUMIFS(Quotes!$AB$5:$AB$84,Quotes!$A$5:$A$84,$A49,Quotes!$B$5:$B$84,G$38)))</f>
      </c>
      <c r="H49" s="16">
        <f>IF(OR($A49="",H$38=""),"",IF(COUNTIFS(Quotes!$A$5:$A$84,$A49,Quotes!$B$5:$B$84,H$38,Quotes!$AB$5:$AB$84,"&gt;0")=0,"—",SUMIFS(Quotes!$AB$5:$AB$84,Quotes!$A$5:$A$84,$A49,Quotes!$B$5:$B$84,H$38)))</f>
      </c>
      <c r="I49" s="16">
        <f>IF(OR($A49="",I$38=""),"",IF(COUNTIFS(Quotes!$A$5:$A$84,$A49,Quotes!$B$5:$B$84,I$38,Quotes!$AB$5:$AB$84,"&gt;0")=0,"—",SUMIFS(Quotes!$AB$5:$AB$84,Quotes!$A$5:$A$84,$A49,Quotes!$B$5:$B$84,I$38)))</f>
      </c>
      <c r="J49" s="16">
        <f>IF(OR($A49="",J$38=""),"",IF(COUNTIFS(Quotes!$A$5:$A$84,$A49,Quotes!$B$5:$B$84,J$38,Quotes!$AB$5:$AB$84,"&gt;0")=0,"—",SUMIFS(Quotes!$AB$5:$AB$84,Quotes!$A$5:$A$84,$A49,Quotes!$B$5:$B$84,J$38)))</f>
      </c>
    </row>
    <row r="50">
      <c r="A50" s="17">
        <f>IF($A$16="","",$A$16)</f>
      </c>
      <c r="B50" s="3">
        <f>IF($A$16="","",$B$16)</f>
      </c>
      <c r="C50" s="16">
        <f>IF(OR($A50="",C$38=""),"",IF(COUNTIFS(Quotes!$A$5:$A$84,$A50,Quotes!$B$5:$B$84,C$38,Quotes!$AB$5:$AB$84,"&gt;0")=0,"—",SUMIFS(Quotes!$AB$5:$AB$84,Quotes!$A$5:$A$84,$A50,Quotes!$B$5:$B$84,C$38)))</f>
      </c>
      <c r="D50" s="16">
        <f>IF(OR($A50="",D$38=""),"",IF(COUNTIFS(Quotes!$A$5:$A$84,$A50,Quotes!$B$5:$B$84,D$38,Quotes!$AB$5:$AB$84,"&gt;0")=0,"—",SUMIFS(Quotes!$AB$5:$AB$84,Quotes!$A$5:$A$84,$A50,Quotes!$B$5:$B$84,D$38)))</f>
      </c>
      <c r="E50" s="16">
        <f>IF(OR($A50="",E$38=""),"",IF(COUNTIFS(Quotes!$A$5:$A$84,$A50,Quotes!$B$5:$B$84,E$38,Quotes!$AB$5:$AB$84,"&gt;0")=0,"—",SUMIFS(Quotes!$AB$5:$AB$84,Quotes!$A$5:$A$84,$A50,Quotes!$B$5:$B$84,E$38)))</f>
      </c>
      <c r="F50" s="16">
        <f>IF(OR($A50="",F$38=""),"",IF(COUNTIFS(Quotes!$A$5:$A$84,$A50,Quotes!$B$5:$B$84,F$38,Quotes!$AB$5:$AB$84,"&gt;0")=0,"—",SUMIFS(Quotes!$AB$5:$AB$84,Quotes!$A$5:$A$84,$A50,Quotes!$B$5:$B$84,F$38)))</f>
      </c>
      <c r="G50" s="16">
        <f>IF(OR($A50="",G$38=""),"",IF(COUNTIFS(Quotes!$A$5:$A$84,$A50,Quotes!$B$5:$B$84,G$38,Quotes!$AB$5:$AB$84,"&gt;0")=0,"—",SUMIFS(Quotes!$AB$5:$AB$84,Quotes!$A$5:$A$84,$A50,Quotes!$B$5:$B$84,G$38)))</f>
      </c>
      <c r="H50" s="16">
        <f>IF(OR($A50="",H$38=""),"",IF(COUNTIFS(Quotes!$A$5:$A$84,$A50,Quotes!$B$5:$B$84,H$38,Quotes!$AB$5:$AB$84,"&gt;0")=0,"—",SUMIFS(Quotes!$AB$5:$AB$84,Quotes!$A$5:$A$84,$A50,Quotes!$B$5:$B$84,H$38)))</f>
      </c>
      <c r="I50" s="16">
        <f>IF(OR($A50="",I$38=""),"",IF(COUNTIFS(Quotes!$A$5:$A$84,$A50,Quotes!$B$5:$B$84,I$38,Quotes!$AB$5:$AB$84,"&gt;0")=0,"—",SUMIFS(Quotes!$AB$5:$AB$84,Quotes!$A$5:$A$84,$A50,Quotes!$B$5:$B$84,I$38)))</f>
      </c>
      <c r="J50" s="16">
        <f>IF(OR($A50="",J$38=""),"",IF(COUNTIFS(Quotes!$A$5:$A$84,$A50,Quotes!$B$5:$B$84,J$38,Quotes!$AB$5:$AB$84,"&gt;0")=0,"—",SUMIFS(Quotes!$AB$5:$AB$84,Quotes!$A$5:$A$84,$A50,Quotes!$B$5:$B$84,J$38)))</f>
      </c>
    </row>
    <row r="51">
      <c r="A51" s="17">
        <f>IF($A$17="","",$A$17)</f>
      </c>
      <c r="B51" s="3">
        <f>IF($A$17="","",$B$17)</f>
      </c>
      <c r="C51" s="16">
        <f>IF(OR($A51="",C$38=""),"",IF(COUNTIFS(Quotes!$A$5:$A$84,$A51,Quotes!$B$5:$B$84,C$38,Quotes!$AB$5:$AB$84,"&gt;0")=0,"—",SUMIFS(Quotes!$AB$5:$AB$84,Quotes!$A$5:$A$84,$A51,Quotes!$B$5:$B$84,C$38)))</f>
      </c>
      <c r="D51" s="16">
        <f>IF(OR($A51="",D$38=""),"",IF(COUNTIFS(Quotes!$A$5:$A$84,$A51,Quotes!$B$5:$B$84,D$38,Quotes!$AB$5:$AB$84,"&gt;0")=0,"—",SUMIFS(Quotes!$AB$5:$AB$84,Quotes!$A$5:$A$84,$A51,Quotes!$B$5:$B$84,D$38)))</f>
      </c>
      <c r="E51" s="16">
        <f>IF(OR($A51="",E$38=""),"",IF(COUNTIFS(Quotes!$A$5:$A$84,$A51,Quotes!$B$5:$B$84,E$38,Quotes!$AB$5:$AB$84,"&gt;0")=0,"—",SUMIFS(Quotes!$AB$5:$AB$84,Quotes!$A$5:$A$84,$A51,Quotes!$B$5:$B$84,E$38)))</f>
      </c>
      <c r="F51" s="16">
        <f>IF(OR($A51="",F$38=""),"",IF(COUNTIFS(Quotes!$A$5:$A$84,$A51,Quotes!$B$5:$B$84,F$38,Quotes!$AB$5:$AB$84,"&gt;0")=0,"—",SUMIFS(Quotes!$AB$5:$AB$84,Quotes!$A$5:$A$84,$A51,Quotes!$B$5:$B$84,F$38)))</f>
      </c>
      <c r="G51" s="16">
        <f>IF(OR($A51="",G$38=""),"",IF(COUNTIFS(Quotes!$A$5:$A$84,$A51,Quotes!$B$5:$B$84,G$38,Quotes!$AB$5:$AB$84,"&gt;0")=0,"—",SUMIFS(Quotes!$AB$5:$AB$84,Quotes!$A$5:$A$84,$A51,Quotes!$B$5:$B$84,G$38)))</f>
      </c>
      <c r="H51" s="16">
        <f>IF(OR($A51="",H$38=""),"",IF(COUNTIFS(Quotes!$A$5:$A$84,$A51,Quotes!$B$5:$B$84,H$38,Quotes!$AB$5:$AB$84,"&gt;0")=0,"—",SUMIFS(Quotes!$AB$5:$AB$84,Quotes!$A$5:$A$84,$A51,Quotes!$B$5:$B$84,H$38)))</f>
      </c>
      <c r="I51" s="16">
        <f>IF(OR($A51="",I$38=""),"",IF(COUNTIFS(Quotes!$A$5:$A$84,$A51,Quotes!$B$5:$B$84,I$38,Quotes!$AB$5:$AB$84,"&gt;0")=0,"—",SUMIFS(Quotes!$AB$5:$AB$84,Quotes!$A$5:$A$84,$A51,Quotes!$B$5:$B$84,I$38)))</f>
      </c>
      <c r="J51" s="16">
        <f>IF(OR($A51="",J$38=""),"",IF(COUNTIFS(Quotes!$A$5:$A$84,$A51,Quotes!$B$5:$B$84,J$38,Quotes!$AB$5:$AB$84,"&gt;0")=0,"—",SUMIFS(Quotes!$AB$5:$AB$84,Quotes!$A$5:$A$84,$A51,Quotes!$B$5:$B$84,J$38)))</f>
      </c>
    </row>
    <row r="52">
      <c r="A52" s="17">
        <f>IF($A$18="","",$A$18)</f>
      </c>
      <c r="B52" s="3">
        <f>IF($A$18="","",$B$18)</f>
      </c>
      <c r="C52" s="16">
        <f>IF(OR($A52="",C$38=""),"",IF(COUNTIFS(Quotes!$A$5:$A$84,$A52,Quotes!$B$5:$B$84,C$38,Quotes!$AB$5:$AB$84,"&gt;0")=0,"—",SUMIFS(Quotes!$AB$5:$AB$84,Quotes!$A$5:$A$84,$A52,Quotes!$B$5:$B$84,C$38)))</f>
      </c>
      <c r="D52" s="16">
        <f>IF(OR($A52="",D$38=""),"",IF(COUNTIFS(Quotes!$A$5:$A$84,$A52,Quotes!$B$5:$B$84,D$38,Quotes!$AB$5:$AB$84,"&gt;0")=0,"—",SUMIFS(Quotes!$AB$5:$AB$84,Quotes!$A$5:$A$84,$A52,Quotes!$B$5:$B$84,D$38)))</f>
      </c>
      <c r="E52" s="16">
        <f>IF(OR($A52="",E$38=""),"",IF(COUNTIFS(Quotes!$A$5:$A$84,$A52,Quotes!$B$5:$B$84,E$38,Quotes!$AB$5:$AB$84,"&gt;0")=0,"—",SUMIFS(Quotes!$AB$5:$AB$84,Quotes!$A$5:$A$84,$A52,Quotes!$B$5:$B$84,E$38)))</f>
      </c>
      <c r="F52" s="16">
        <f>IF(OR($A52="",F$38=""),"",IF(COUNTIFS(Quotes!$A$5:$A$84,$A52,Quotes!$B$5:$B$84,F$38,Quotes!$AB$5:$AB$84,"&gt;0")=0,"—",SUMIFS(Quotes!$AB$5:$AB$84,Quotes!$A$5:$A$84,$A52,Quotes!$B$5:$B$84,F$38)))</f>
      </c>
      <c r="G52" s="16">
        <f>IF(OR($A52="",G$38=""),"",IF(COUNTIFS(Quotes!$A$5:$A$84,$A52,Quotes!$B$5:$B$84,G$38,Quotes!$AB$5:$AB$84,"&gt;0")=0,"—",SUMIFS(Quotes!$AB$5:$AB$84,Quotes!$A$5:$A$84,$A52,Quotes!$B$5:$B$84,G$38)))</f>
      </c>
      <c r="H52" s="16">
        <f>IF(OR($A52="",H$38=""),"",IF(COUNTIFS(Quotes!$A$5:$A$84,$A52,Quotes!$B$5:$B$84,H$38,Quotes!$AB$5:$AB$84,"&gt;0")=0,"—",SUMIFS(Quotes!$AB$5:$AB$84,Quotes!$A$5:$A$84,$A52,Quotes!$B$5:$B$84,H$38)))</f>
      </c>
      <c r="I52" s="16">
        <f>IF(OR($A52="",I$38=""),"",IF(COUNTIFS(Quotes!$A$5:$A$84,$A52,Quotes!$B$5:$B$84,I$38,Quotes!$AB$5:$AB$84,"&gt;0")=0,"—",SUMIFS(Quotes!$AB$5:$AB$84,Quotes!$A$5:$A$84,$A52,Quotes!$B$5:$B$84,I$38)))</f>
      </c>
      <c r="J52" s="16">
        <f>IF(OR($A52="",J$38=""),"",IF(COUNTIFS(Quotes!$A$5:$A$84,$A52,Quotes!$B$5:$B$84,J$38,Quotes!$AB$5:$AB$84,"&gt;0")=0,"—",SUMIFS(Quotes!$AB$5:$AB$84,Quotes!$A$5:$A$84,$A52,Quotes!$B$5:$B$84,J$38)))</f>
      </c>
    </row>
    <row r="53">
      <c r="A53" s="17">
        <f>IF($A$19="","",$A$19)</f>
      </c>
      <c r="B53" s="3">
        <f>IF($A$19="","",$B$19)</f>
      </c>
      <c r="C53" s="16">
        <f>IF(OR($A53="",C$38=""),"",IF(COUNTIFS(Quotes!$A$5:$A$84,$A53,Quotes!$B$5:$B$84,C$38,Quotes!$AB$5:$AB$84,"&gt;0")=0,"—",SUMIFS(Quotes!$AB$5:$AB$84,Quotes!$A$5:$A$84,$A53,Quotes!$B$5:$B$84,C$38)))</f>
      </c>
      <c r="D53" s="16">
        <f>IF(OR($A53="",D$38=""),"",IF(COUNTIFS(Quotes!$A$5:$A$84,$A53,Quotes!$B$5:$B$84,D$38,Quotes!$AB$5:$AB$84,"&gt;0")=0,"—",SUMIFS(Quotes!$AB$5:$AB$84,Quotes!$A$5:$A$84,$A53,Quotes!$B$5:$B$84,D$38)))</f>
      </c>
      <c r="E53" s="16">
        <f>IF(OR($A53="",E$38=""),"",IF(COUNTIFS(Quotes!$A$5:$A$84,$A53,Quotes!$B$5:$B$84,E$38,Quotes!$AB$5:$AB$84,"&gt;0")=0,"—",SUMIFS(Quotes!$AB$5:$AB$84,Quotes!$A$5:$A$84,$A53,Quotes!$B$5:$B$84,E$38)))</f>
      </c>
      <c r="F53" s="16">
        <f>IF(OR($A53="",F$38=""),"",IF(COUNTIFS(Quotes!$A$5:$A$84,$A53,Quotes!$B$5:$B$84,F$38,Quotes!$AB$5:$AB$84,"&gt;0")=0,"—",SUMIFS(Quotes!$AB$5:$AB$84,Quotes!$A$5:$A$84,$A53,Quotes!$B$5:$B$84,F$38)))</f>
      </c>
      <c r="G53" s="16">
        <f>IF(OR($A53="",G$38=""),"",IF(COUNTIFS(Quotes!$A$5:$A$84,$A53,Quotes!$B$5:$B$84,G$38,Quotes!$AB$5:$AB$84,"&gt;0")=0,"—",SUMIFS(Quotes!$AB$5:$AB$84,Quotes!$A$5:$A$84,$A53,Quotes!$B$5:$B$84,G$38)))</f>
      </c>
      <c r="H53" s="16">
        <f>IF(OR($A53="",H$38=""),"",IF(COUNTIFS(Quotes!$A$5:$A$84,$A53,Quotes!$B$5:$B$84,H$38,Quotes!$AB$5:$AB$84,"&gt;0")=0,"—",SUMIFS(Quotes!$AB$5:$AB$84,Quotes!$A$5:$A$84,$A53,Quotes!$B$5:$B$84,H$38)))</f>
      </c>
      <c r="I53" s="16">
        <f>IF(OR($A53="",I$38=""),"",IF(COUNTIFS(Quotes!$A$5:$A$84,$A53,Quotes!$B$5:$B$84,I$38,Quotes!$AB$5:$AB$84,"&gt;0")=0,"—",SUMIFS(Quotes!$AB$5:$AB$84,Quotes!$A$5:$A$84,$A53,Quotes!$B$5:$B$84,I$38)))</f>
      </c>
      <c r="J53" s="16">
        <f>IF(OR($A53="",J$38=""),"",IF(COUNTIFS(Quotes!$A$5:$A$84,$A53,Quotes!$B$5:$B$84,J$38,Quotes!$AB$5:$AB$84,"&gt;0")=0,"—",SUMIFS(Quotes!$AB$5:$AB$84,Quotes!$A$5:$A$84,$A53,Quotes!$B$5:$B$84,J$38)))</f>
      </c>
    </row>
    <row r="54">
      <c r="A54" s="17">
        <f>IF($A$20="","",$A$20)</f>
      </c>
      <c r="B54" s="3">
        <f>IF($A$20="","",$B$20)</f>
      </c>
      <c r="C54" s="16">
        <f>IF(OR($A54="",C$38=""),"",IF(COUNTIFS(Quotes!$A$5:$A$84,$A54,Quotes!$B$5:$B$84,C$38,Quotes!$AB$5:$AB$84,"&gt;0")=0,"—",SUMIFS(Quotes!$AB$5:$AB$84,Quotes!$A$5:$A$84,$A54,Quotes!$B$5:$B$84,C$38)))</f>
      </c>
      <c r="D54" s="16">
        <f>IF(OR($A54="",D$38=""),"",IF(COUNTIFS(Quotes!$A$5:$A$84,$A54,Quotes!$B$5:$B$84,D$38,Quotes!$AB$5:$AB$84,"&gt;0")=0,"—",SUMIFS(Quotes!$AB$5:$AB$84,Quotes!$A$5:$A$84,$A54,Quotes!$B$5:$B$84,D$38)))</f>
      </c>
      <c r="E54" s="16">
        <f>IF(OR($A54="",E$38=""),"",IF(COUNTIFS(Quotes!$A$5:$A$84,$A54,Quotes!$B$5:$B$84,E$38,Quotes!$AB$5:$AB$84,"&gt;0")=0,"—",SUMIFS(Quotes!$AB$5:$AB$84,Quotes!$A$5:$A$84,$A54,Quotes!$B$5:$B$84,E$38)))</f>
      </c>
      <c r="F54" s="16">
        <f>IF(OR($A54="",F$38=""),"",IF(COUNTIFS(Quotes!$A$5:$A$84,$A54,Quotes!$B$5:$B$84,F$38,Quotes!$AB$5:$AB$84,"&gt;0")=0,"—",SUMIFS(Quotes!$AB$5:$AB$84,Quotes!$A$5:$A$84,$A54,Quotes!$B$5:$B$84,F$38)))</f>
      </c>
      <c r="G54" s="16">
        <f>IF(OR($A54="",G$38=""),"",IF(COUNTIFS(Quotes!$A$5:$A$84,$A54,Quotes!$B$5:$B$84,G$38,Quotes!$AB$5:$AB$84,"&gt;0")=0,"—",SUMIFS(Quotes!$AB$5:$AB$84,Quotes!$A$5:$A$84,$A54,Quotes!$B$5:$B$84,G$38)))</f>
      </c>
      <c r="H54" s="16">
        <f>IF(OR($A54="",H$38=""),"",IF(COUNTIFS(Quotes!$A$5:$A$84,$A54,Quotes!$B$5:$B$84,H$38,Quotes!$AB$5:$AB$84,"&gt;0")=0,"—",SUMIFS(Quotes!$AB$5:$AB$84,Quotes!$A$5:$A$84,$A54,Quotes!$B$5:$B$84,H$38)))</f>
      </c>
      <c r="I54" s="16">
        <f>IF(OR($A54="",I$38=""),"",IF(COUNTIFS(Quotes!$A$5:$A$84,$A54,Quotes!$B$5:$B$84,I$38,Quotes!$AB$5:$AB$84,"&gt;0")=0,"—",SUMIFS(Quotes!$AB$5:$AB$84,Quotes!$A$5:$A$84,$A54,Quotes!$B$5:$B$84,I$38)))</f>
      </c>
      <c r="J54" s="16">
        <f>IF(OR($A54="",J$38=""),"",IF(COUNTIFS(Quotes!$A$5:$A$84,$A54,Quotes!$B$5:$B$84,J$38,Quotes!$AB$5:$AB$84,"&gt;0")=0,"—",SUMIFS(Quotes!$AB$5:$AB$84,Quotes!$A$5:$A$84,$A54,Quotes!$B$5:$B$84,J$38)))</f>
      </c>
    </row>
    <row r="55">
      <c r="A55" s="17">
        <f>IF($A$21="","",$A$21)</f>
      </c>
      <c r="B55" s="3">
        <f>IF($A$21="","",$B$21)</f>
      </c>
      <c r="C55" s="16">
        <f>IF(OR($A55="",C$38=""),"",IF(COUNTIFS(Quotes!$A$5:$A$84,$A55,Quotes!$B$5:$B$84,C$38,Quotes!$AB$5:$AB$84,"&gt;0")=0,"—",SUMIFS(Quotes!$AB$5:$AB$84,Quotes!$A$5:$A$84,$A55,Quotes!$B$5:$B$84,C$38)))</f>
      </c>
      <c r="D55" s="16">
        <f>IF(OR($A55="",D$38=""),"",IF(COUNTIFS(Quotes!$A$5:$A$84,$A55,Quotes!$B$5:$B$84,D$38,Quotes!$AB$5:$AB$84,"&gt;0")=0,"—",SUMIFS(Quotes!$AB$5:$AB$84,Quotes!$A$5:$A$84,$A55,Quotes!$B$5:$B$84,D$38)))</f>
      </c>
      <c r="E55" s="16">
        <f>IF(OR($A55="",E$38=""),"",IF(COUNTIFS(Quotes!$A$5:$A$84,$A55,Quotes!$B$5:$B$84,E$38,Quotes!$AB$5:$AB$84,"&gt;0")=0,"—",SUMIFS(Quotes!$AB$5:$AB$84,Quotes!$A$5:$A$84,$A55,Quotes!$B$5:$B$84,E$38)))</f>
      </c>
      <c r="F55" s="16">
        <f>IF(OR($A55="",F$38=""),"",IF(COUNTIFS(Quotes!$A$5:$A$84,$A55,Quotes!$B$5:$B$84,F$38,Quotes!$AB$5:$AB$84,"&gt;0")=0,"—",SUMIFS(Quotes!$AB$5:$AB$84,Quotes!$A$5:$A$84,$A55,Quotes!$B$5:$B$84,F$38)))</f>
      </c>
      <c r="G55" s="16">
        <f>IF(OR($A55="",G$38=""),"",IF(COUNTIFS(Quotes!$A$5:$A$84,$A55,Quotes!$B$5:$B$84,G$38,Quotes!$AB$5:$AB$84,"&gt;0")=0,"—",SUMIFS(Quotes!$AB$5:$AB$84,Quotes!$A$5:$A$84,$A55,Quotes!$B$5:$B$84,G$38)))</f>
      </c>
      <c r="H55" s="16">
        <f>IF(OR($A55="",H$38=""),"",IF(COUNTIFS(Quotes!$A$5:$A$84,$A55,Quotes!$B$5:$B$84,H$38,Quotes!$AB$5:$AB$84,"&gt;0")=0,"—",SUMIFS(Quotes!$AB$5:$AB$84,Quotes!$A$5:$A$84,$A55,Quotes!$B$5:$B$84,H$38)))</f>
      </c>
      <c r="I55" s="16">
        <f>IF(OR($A55="",I$38=""),"",IF(COUNTIFS(Quotes!$A$5:$A$84,$A55,Quotes!$B$5:$B$84,I$38,Quotes!$AB$5:$AB$84,"&gt;0")=0,"—",SUMIFS(Quotes!$AB$5:$AB$84,Quotes!$A$5:$A$84,$A55,Quotes!$B$5:$B$84,I$38)))</f>
      </c>
      <c r="J55" s="16">
        <f>IF(OR($A55="",J$38=""),"",IF(COUNTIFS(Quotes!$A$5:$A$84,$A55,Quotes!$B$5:$B$84,J$38,Quotes!$AB$5:$AB$84,"&gt;0")=0,"—",SUMIFS(Quotes!$AB$5:$AB$84,Quotes!$A$5:$A$84,$A55,Quotes!$B$5:$B$84,J$38)))</f>
      </c>
    </row>
    <row r="56">
      <c r="A56" s="17">
        <f>IF($A$22="","",$A$22)</f>
      </c>
      <c r="B56" s="3">
        <f>IF($A$22="","",$B$22)</f>
      </c>
      <c r="C56" s="16">
        <f>IF(OR($A56="",C$38=""),"",IF(COUNTIFS(Quotes!$A$5:$A$84,$A56,Quotes!$B$5:$B$84,C$38,Quotes!$AB$5:$AB$84,"&gt;0")=0,"—",SUMIFS(Quotes!$AB$5:$AB$84,Quotes!$A$5:$A$84,$A56,Quotes!$B$5:$B$84,C$38)))</f>
      </c>
      <c r="D56" s="16">
        <f>IF(OR($A56="",D$38=""),"",IF(COUNTIFS(Quotes!$A$5:$A$84,$A56,Quotes!$B$5:$B$84,D$38,Quotes!$AB$5:$AB$84,"&gt;0")=0,"—",SUMIFS(Quotes!$AB$5:$AB$84,Quotes!$A$5:$A$84,$A56,Quotes!$B$5:$B$84,D$38)))</f>
      </c>
      <c r="E56" s="16">
        <f>IF(OR($A56="",E$38=""),"",IF(COUNTIFS(Quotes!$A$5:$A$84,$A56,Quotes!$B$5:$B$84,E$38,Quotes!$AB$5:$AB$84,"&gt;0")=0,"—",SUMIFS(Quotes!$AB$5:$AB$84,Quotes!$A$5:$A$84,$A56,Quotes!$B$5:$B$84,E$38)))</f>
      </c>
      <c r="F56" s="16">
        <f>IF(OR($A56="",F$38=""),"",IF(COUNTIFS(Quotes!$A$5:$A$84,$A56,Quotes!$B$5:$B$84,F$38,Quotes!$AB$5:$AB$84,"&gt;0")=0,"—",SUMIFS(Quotes!$AB$5:$AB$84,Quotes!$A$5:$A$84,$A56,Quotes!$B$5:$B$84,F$38)))</f>
      </c>
      <c r="G56" s="16">
        <f>IF(OR($A56="",G$38=""),"",IF(COUNTIFS(Quotes!$A$5:$A$84,$A56,Quotes!$B$5:$B$84,G$38,Quotes!$AB$5:$AB$84,"&gt;0")=0,"—",SUMIFS(Quotes!$AB$5:$AB$84,Quotes!$A$5:$A$84,$A56,Quotes!$B$5:$B$84,G$38)))</f>
      </c>
      <c r="H56" s="16">
        <f>IF(OR($A56="",H$38=""),"",IF(COUNTIFS(Quotes!$A$5:$A$84,$A56,Quotes!$B$5:$B$84,H$38,Quotes!$AB$5:$AB$84,"&gt;0")=0,"—",SUMIFS(Quotes!$AB$5:$AB$84,Quotes!$A$5:$A$84,$A56,Quotes!$B$5:$B$84,H$38)))</f>
      </c>
      <c r="I56" s="16">
        <f>IF(OR($A56="",I$38=""),"",IF(COUNTIFS(Quotes!$A$5:$A$84,$A56,Quotes!$B$5:$B$84,I$38,Quotes!$AB$5:$AB$84,"&gt;0")=0,"—",SUMIFS(Quotes!$AB$5:$AB$84,Quotes!$A$5:$A$84,$A56,Quotes!$B$5:$B$84,I$38)))</f>
      </c>
      <c r="J56" s="16">
        <f>IF(OR($A56="",J$38=""),"",IF(COUNTIFS(Quotes!$A$5:$A$84,$A56,Quotes!$B$5:$B$84,J$38,Quotes!$AB$5:$AB$84,"&gt;0")=0,"—",SUMIFS(Quotes!$AB$5:$AB$84,Quotes!$A$5:$A$84,$A56,Quotes!$B$5:$B$84,J$38)))</f>
      </c>
    </row>
    <row r="57">
      <c r="A57" s="17">
        <f>IF($A$23="","",$A$23)</f>
      </c>
      <c r="B57" s="3">
        <f>IF($A$23="","",$B$23)</f>
      </c>
      <c r="C57" s="16">
        <f>IF(OR($A57="",C$38=""),"",IF(COUNTIFS(Quotes!$A$5:$A$84,$A57,Quotes!$B$5:$B$84,C$38,Quotes!$AB$5:$AB$84,"&gt;0")=0,"—",SUMIFS(Quotes!$AB$5:$AB$84,Quotes!$A$5:$A$84,$A57,Quotes!$B$5:$B$84,C$38)))</f>
      </c>
      <c r="D57" s="16">
        <f>IF(OR($A57="",D$38=""),"",IF(COUNTIFS(Quotes!$A$5:$A$84,$A57,Quotes!$B$5:$B$84,D$38,Quotes!$AB$5:$AB$84,"&gt;0")=0,"—",SUMIFS(Quotes!$AB$5:$AB$84,Quotes!$A$5:$A$84,$A57,Quotes!$B$5:$B$84,D$38)))</f>
      </c>
      <c r="E57" s="16">
        <f>IF(OR($A57="",E$38=""),"",IF(COUNTIFS(Quotes!$A$5:$A$84,$A57,Quotes!$B$5:$B$84,E$38,Quotes!$AB$5:$AB$84,"&gt;0")=0,"—",SUMIFS(Quotes!$AB$5:$AB$84,Quotes!$A$5:$A$84,$A57,Quotes!$B$5:$B$84,E$38)))</f>
      </c>
      <c r="F57" s="16">
        <f>IF(OR($A57="",F$38=""),"",IF(COUNTIFS(Quotes!$A$5:$A$84,$A57,Quotes!$B$5:$B$84,F$38,Quotes!$AB$5:$AB$84,"&gt;0")=0,"—",SUMIFS(Quotes!$AB$5:$AB$84,Quotes!$A$5:$A$84,$A57,Quotes!$B$5:$B$84,F$38)))</f>
      </c>
      <c r="G57" s="16">
        <f>IF(OR($A57="",G$38=""),"",IF(COUNTIFS(Quotes!$A$5:$A$84,$A57,Quotes!$B$5:$B$84,G$38,Quotes!$AB$5:$AB$84,"&gt;0")=0,"—",SUMIFS(Quotes!$AB$5:$AB$84,Quotes!$A$5:$A$84,$A57,Quotes!$B$5:$B$84,G$38)))</f>
      </c>
      <c r="H57" s="16">
        <f>IF(OR($A57="",H$38=""),"",IF(COUNTIFS(Quotes!$A$5:$A$84,$A57,Quotes!$B$5:$B$84,H$38,Quotes!$AB$5:$AB$84,"&gt;0")=0,"—",SUMIFS(Quotes!$AB$5:$AB$84,Quotes!$A$5:$A$84,$A57,Quotes!$B$5:$B$84,H$38)))</f>
      </c>
      <c r="I57" s="16">
        <f>IF(OR($A57="",I$38=""),"",IF(COUNTIFS(Quotes!$A$5:$A$84,$A57,Quotes!$B$5:$B$84,I$38,Quotes!$AB$5:$AB$84,"&gt;0")=0,"—",SUMIFS(Quotes!$AB$5:$AB$84,Quotes!$A$5:$A$84,$A57,Quotes!$B$5:$B$84,I$38)))</f>
      </c>
      <c r="J57" s="16">
        <f>IF(OR($A57="",J$38=""),"",IF(COUNTIFS(Quotes!$A$5:$A$84,$A57,Quotes!$B$5:$B$84,J$38,Quotes!$AB$5:$AB$84,"&gt;0")=0,"—",SUMIFS(Quotes!$AB$5:$AB$84,Quotes!$A$5:$A$84,$A57,Quotes!$B$5:$B$84,J$38)))</f>
      </c>
    </row>
    <row r="58">
      <c r="A58" s="17">
        <f>IF($A$24="","",$A$24)</f>
      </c>
      <c r="B58" s="3">
        <f>IF($A$24="","",$B$24)</f>
      </c>
      <c r="C58" s="16">
        <f>IF(OR($A58="",C$38=""),"",IF(COUNTIFS(Quotes!$A$5:$A$84,$A58,Quotes!$B$5:$B$84,C$38,Quotes!$AB$5:$AB$84,"&gt;0")=0,"—",SUMIFS(Quotes!$AB$5:$AB$84,Quotes!$A$5:$A$84,$A58,Quotes!$B$5:$B$84,C$38)))</f>
      </c>
      <c r="D58" s="16">
        <f>IF(OR($A58="",D$38=""),"",IF(COUNTIFS(Quotes!$A$5:$A$84,$A58,Quotes!$B$5:$B$84,D$38,Quotes!$AB$5:$AB$84,"&gt;0")=0,"—",SUMIFS(Quotes!$AB$5:$AB$84,Quotes!$A$5:$A$84,$A58,Quotes!$B$5:$B$84,D$38)))</f>
      </c>
      <c r="E58" s="16">
        <f>IF(OR($A58="",E$38=""),"",IF(COUNTIFS(Quotes!$A$5:$A$84,$A58,Quotes!$B$5:$B$84,E$38,Quotes!$AB$5:$AB$84,"&gt;0")=0,"—",SUMIFS(Quotes!$AB$5:$AB$84,Quotes!$A$5:$A$84,$A58,Quotes!$B$5:$B$84,E$38)))</f>
      </c>
      <c r="F58" s="16">
        <f>IF(OR($A58="",F$38=""),"",IF(COUNTIFS(Quotes!$A$5:$A$84,$A58,Quotes!$B$5:$B$84,F$38,Quotes!$AB$5:$AB$84,"&gt;0")=0,"—",SUMIFS(Quotes!$AB$5:$AB$84,Quotes!$A$5:$A$84,$A58,Quotes!$B$5:$B$84,F$38)))</f>
      </c>
      <c r="G58" s="16">
        <f>IF(OR($A58="",G$38=""),"",IF(COUNTIFS(Quotes!$A$5:$A$84,$A58,Quotes!$B$5:$B$84,G$38,Quotes!$AB$5:$AB$84,"&gt;0")=0,"—",SUMIFS(Quotes!$AB$5:$AB$84,Quotes!$A$5:$A$84,$A58,Quotes!$B$5:$B$84,G$38)))</f>
      </c>
      <c r="H58" s="16">
        <f>IF(OR($A58="",H$38=""),"",IF(COUNTIFS(Quotes!$A$5:$A$84,$A58,Quotes!$B$5:$B$84,H$38,Quotes!$AB$5:$AB$84,"&gt;0")=0,"—",SUMIFS(Quotes!$AB$5:$AB$84,Quotes!$A$5:$A$84,$A58,Quotes!$B$5:$B$84,H$38)))</f>
      </c>
      <c r="I58" s="16">
        <f>IF(OR($A58="",I$38=""),"",IF(COUNTIFS(Quotes!$A$5:$A$84,$A58,Quotes!$B$5:$B$84,I$38,Quotes!$AB$5:$AB$84,"&gt;0")=0,"—",SUMIFS(Quotes!$AB$5:$AB$84,Quotes!$A$5:$A$84,$A58,Quotes!$B$5:$B$84,I$38)))</f>
      </c>
      <c r="J58" s="16">
        <f>IF(OR($A58="",J$38=""),"",IF(COUNTIFS(Quotes!$A$5:$A$84,$A58,Quotes!$B$5:$B$84,J$38,Quotes!$AB$5:$AB$84,"&gt;0")=0,"—",SUMIFS(Quotes!$AB$5:$AB$84,Quotes!$A$5:$A$84,$A58,Quotes!$B$5:$B$84,J$38)))</f>
      </c>
    </row>
    <row r="59">
      <c r="A59" s="17">
        <f>IF($A$25="","",$A$25)</f>
      </c>
      <c r="B59" s="3">
        <f>IF($A$25="","",$B$25)</f>
      </c>
      <c r="C59" s="16">
        <f>IF(OR($A59="",C$38=""),"",IF(COUNTIFS(Quotes!$A$5:$A$84,$A59,Quotes!$B$5:$B$84,C$38,Quotes!$AB$5:$AB$84,"&gt;0")=0,"—",SUMIFS(Quotes!$AB$5:$AB$84,Quotes!$A$5:$A$84,$A59,Quotes!$B$5:$B$84,C$38)))</f>
      </c>
      <c r="D59" s="16">
        <f>IF(OR($A59="",D$38=""),"",IF(COUNTIFS(Quotes!$A$5:$A$84,$A59,Quotes!$B$5:$B$84,D$38,Quotes!$AB$5:$AB$84,"&gt;0")=0,"—",SUMIFS(Quotes!$AB$5:$AB$84,Quotes!$A$5:$A$84,$A59,Quotes!$B$5:$B$84,D$38)))</f>
      </c>
      <c r="E59" s="16">
        <f>IF(OR($A59="",E$38=""),"",IF(COUNTIFS(Quotes!$A$5:$A$84,$A59,Quotes!$B$5:$B$84,E$38,Quotes!$AB$5:$AB$84,"&gt;0")=0,"—",SUMIFS(Quotes!$AB$5:$AB$84,Quotes!$A$5:$A$84,$A59,Quotes!$B$5:$B$84,E$38)))</f>
      </c>
      <c r="F59" s="16">
        <f>IF(OR($A59="",F$38=""),"",IF(COUNTIFS(Quotes!$A$5:$A$84,$A59,Quotes!$B$5:$B$84,F$38,Quotes!$AB$5:$AB$84,"&gt;0")=0,"—",SUMIFS(Quotes!$AB$5:$AB$84,Quotes!$A$5:$A$84,$A59,Quotes!$B$5:$B$84,F$38)))</f>
      </c>
      <c r="G59" s="16">
        <f>IF(OR($A59="",G$38=""),"",IF(COUNTIFS(Quotes!$A$5:$A$84,$A59,Quotes!$B$5:$B$84,G$38,Quotes!$AB$5:$AB$84,"&gt;0")=0,"—",SUMIFS(Quotes!$AB$5:$AB$84,Quotes!$A$5:$A$84,$A59,Quotes!$B$5:$B$84,G$38)))</f>
      </c>
      <c r="H59" s="16">
        <f>IF(OR($A59="",H$38=""),"",IF(COUNTIFS(Quotes!$A$5:$A$84,$A59,Quotes!$B$5:$B$84,H$38,Quotes!$AB$5:$AB$84,"&gt;0")=0,"—",SUMIFS(Quotes!$AB$5:$AB$84,Quotes!$A$5:$A$84,$A59,Quotes!$B$5:$B$84,H$38)))</f>
      </c>
      <c r="I59" s="16">
        <f>IF(OR($A59="",I$38=""),"",IF(COUNTIFS(Quotes!$A$5:$A$84,$A59,Quotes!$B$5:$B$84,I$38,Quotes!$AB$5:$AB$84,"&gt;0")=0,"—",SUMIFS(Quotes!$AB$5:$AB$84,Quotes!$A$5:$A$84,$A59,Quotes!$B$5:$B$84,I$38)))</f>
      </c>
      <c r="J59" s="16">
        <f>IF(OR($A59="",J$38=""),"",IF(COUNTIFS(Quotes!$A$5:$A$84,$A59,Quotes!$B$5:$B$84,J$38,Quotes!$AB$5:$AB$84,"&gt;0")=0,"—",SUMIFS(Quotes!$AB$5:$AB$84,Quotes!$A$5:$A$84,$A59,Quotes!$B$5:$B$84,J$38)))</f>
      </c>
    </row>
    <row r="60">
      <c r="A60" s="17">
        <f>IF($A$26="","",$A$26)</f>
      </c>
      <c r="B60" s="3">
        <f>IF($A$26="","",$B$26)</f>
      </c>
      <c r="C60" s="16">
        <f>IF(OR($A60="",C$38=""),"",IF(COUNTIFS(Quotes!$A$5:$A$84,$A60,Quotes!$B$5:$B$84,C$38,Quotes!$AB$5:$AB$84,"&gt;0")=0,"—",SUMIFS(Quotes!$AB$5:$AB$84,Quotes!$A$5:$A$84,$A60,Quotes!$B$5:$B$84,C$38)))</f>
      </c>
      <c r="D60" s="16">
        <f>IF(OR($A60="",D$38=""),"",IF(COUNTIFS(Quotes!$A$5:$A$84,$A60,Quotes!$B$5:$B$84,D$38,Quotes!$AB$5:$AB$84,"&gt;0")=0,"—",SUMIFS(Quotes!$AB$5:$AB$84,Quotes!$A$5:$A$84,$A60,Quotes!$B$5:$B$84,D$38)))</f>
      </c>
      <c r="E60" s="16">
        <f>IF(OR($A60="",E$38=""),"",IF(COUNTIFS(Quotes!$A$5:$A$84,$A60,Quotes!$B$5:$B$84,E$38,Quotes!$AB$5:$AB$84,"&gt;0")=0,"—",SUMIFS(Quotes!$AB$5:$AB$84,Quotes!$A$5:$A$84,$A60,Quotes!$B$5:$B$84,E$38)))</f>
      </c>
      <c r="F60" s="16">
        <f>IF(OR($A60="",F$38=""),"",IF(COUNTIFS(Quotes!$A$5:$A$84,$A60,Quotes!$B$5:$B$84,F$38,Quotes!$AB$5:$AB$84,"&gt;0")=0,"—",SUMIFS(Quotes!$AB$5:$AB$84,Quotes!$A$5:$A$84,$A60,Quotes!$B$5:$B$84,F$38)))</f>
      </c>
      <c r="G60" s="16">
        <f>IF(OR($A60="",G$38=""),"",IF(COUNTIFS(Quotes!$A$5:$A$84,$A60,Quotes!$B$5:$B$84,G$38,Quotes!$AB$5:$AB$84,"&gt;0")=0,"—",SUMIFS(Quotes!$AB$5:$AB$84,Quotes!$A$5:$A$84,$A60,Quotes!$B$5:$B$84,G$38)))</f>
      </c>
      <c r="H60" s="16">
        <f>IF(OR($A60="",H$38=""),"",IF(COUNTIFS(Quotes!$A$5:$A$84,$A60,Quotes!$B$5:$B$84,H$38,Quotes!$AB$5:$AB$84,"&gt;0")=0,"—",SUMIFS(Quotes!$AB$5:$AB$84,Quotes!$A$5:$A$84,$A60,Quotes!$B$5:$B$84,H$38)))</f>
      </c>
      <c r="I60" s="16">
        <f>IF(OR($A60="",I$38=""),"",IF(COUNTIFS(Quotes!$A$5:$A$84,$A60,Quotes!$B$5:$B$84,I$38,Quotes!$AB$5:$AB$84,"&gt;0")=0,"—",SUMIFS(Quotes!$AB$5:$AB$84,Quotes!$A$5:$A$84,$A60,Quotes!$B$5:$B$84,I$38)))</f>
      </c>
      <c r="J60" s="16">
        <f>IF(OR($A60="",J$38=""),"",IF(COUNTIFS(Quotes!$A$5:$A$84,$A60,Quotes!$B$5:$B$84,J$38,Quotes!$AB$5:$AB$84,"&gt;0")=0,"—",SUMIFS(Quotes!$AB$5:$AB$84,Quotes!$A$5:$A$84,$A60,Quotes!$B$5:$B$84,J$38)))</f>
      </c>
    </row>
    <row r="61">
      <c r="A61" s="17">
        <f>IF($A$27="","",$A$27)</f>
      </c>
      <c r="B61" s="3">
        <f>IF($A$27="","",$B$27)</f>
      </c>
      <c r="C61" s="16">
        <f>IF(OR($A61="",C$38=""),"",IF(COUNTIFS(Quotes!$A$5:$A$84,$A61,Quotes!$B$5:$B$84,C$38,Quotes!$AB$5:$AB$84,"&gt;0")=0,"—",SUMIFS(Quotes!$AB$5:$AB$84,Quotes!$A$5:$A$84,$A61,Quotes!$B$5:$B$84,C$38)))</f>
      </c>
      <c r="D61" s="16">
        <f>IF(OR($A61="",D$38=""),"",IF(COUNTIFS(Quotes!$A$5:$A$84,$A61,Quotes!$B$5:$B$84,D$38,Quotes!$AB$5:$AB$84,"&gt;0")=0,"—",SUMIFS(Quotes!$AB$5:$AB$84,Quotes!$A$5:$A$84,$A61,Quotes!$B$5:$B$84,D$38)))</f>
      </c>
      <c r="E61" s="16">
        <f>IF(OR($A61="",E$38=""),"",IF(COUNTIFS(Quotes!$A$5:$A$84,$A61,Quotes!$B$5:$B$84,E$38,Quotes!$AB$5:$AB$84,"&gt;0")=0,"—",SUMIFS(Quotes!$AB$5:$AB$84,Quotes!$A$5:$A$84,$A61,Quotes!$B$5:$B$84,E$38)))</f>
      </c>
      <c r="F61" s="16">
        <f>IF(OR($A61="",F$38=""),"",IF(COUNTIFS(Quotes!$A$5:$A$84,$A61,Quotes!$B$5:$B$84,F$38,Quotes!$AB$5:$AB$84,"&gt;0")=0,"—",SUMIFS(Quotes!$AB$5:$AB$84,Quotes!$A$5:$A$84,$A61,Quotes!$B$5:$B$84,F$38)))</f>
      </c>
      <c r="G61" s="16">
        <f>IF(OR($A61="",G$38=""),"",IF(COUNTIFS(Quotes!$A$5:$A$84,$A61,Quotes!$B$5:$B$84,G$38,Quotes!$AB$5:$AB$84,"&gt;0")=0,"—",SUMIFS(Quotes!$AB$5:$AB$84,Quotes!$A$5:$A$84,$A61,Quotes!$B$5:$B$84,G$38)))</f>
      </c>
      <c r="H61" s="16">
        <f>IF(OR($A61="",H$38=""),"",IF(COUNTIFS(Quotes!$A$5:$A$84,$A61,Quotes!$B$5:$B$84,H$38,Quotes!$AB$5:$AB$84,"&gt;0")=0,"—",SUMIFS(Quotes!$AB$5:$AB$84,Quotes!$A$5:$A$84,$A61,Quotes!$B$5:$B$84,H$38)))</f>
      </c>
      <c r="I61" s="16">
        <f>IF(OR($A61="",I$38=""),"",IF(COUNTIFS(Quotes!$A$5:$A$84,$A61,Quotes!$B$5:$B$84,I$38,Quotes!$AB$5:$AB$84,"&gt;0")=0,"—",SUMIFS(Quotes!$AB$5:$AB$84,Quotes!$A$5:$A$84,$A61,Quotes!$B$5:$B$84,I$38)))</f>
      </c>
      <c r="J61" s="16">
        <f>IF(OR($A61="",J$38=""),"",IF(COUNTIFS(Quotes!$A$5:$A$84,$A61,Quotes!$B$5:$B$84,J$38,Quotes!$AB$5:$AB$84,"&gt;0")=0,"—",SUMIFS(Quotes!$AB$5:$AB$84,Quotes!$A$5:$A$84,$A61,Quotes!$B$5:$B$84,J$38)))</f>
      </c>
    </row>
    <row r="62">
      <c r="A62" s="17">
        <f>IF($A$28="","",$A$28)</f>
      </c>
      <c r="B62" s="3">
        <f>IF($A$28="","",$B$28)</f>
      </c>
      <c r="C62" s="16">
        <f>IF(OR($A62="",C$38=""),"",IF(COUNTIFS(Quotes!$A$5:$A$84,$A62,Quotes!$B$5:$B$84,C$38,Quotes!$AB$5:$AB$84,"&gt;0")=0,"—",SUMIFS(Quotes!$AB$5:$AB$84,Quotes!$A$5:$A$84,$A62,Quotes!$B$5:$B$84,C$38)))</f>
      </c>
      <c r="D62" s="16">
        <f>IF(OR($A62="",D$38=""),"",IF(COUNTIFS(Quotes!$A$5:$A$84,$A62,Quotes!$B$5:$B$84,D$38,Quotes!$AB$5:$AB$84,"&gt;0")=0,"—",SUMIFS(Quotes!$AB$5:$AB$84,Quotes!$A$5:$A$84,$A62,Quotes!$B$5:$B$84,D$38)))</f>
      </c>
      <c r="E62" s="16">
        <f>IF(OR($A62="",E$38=""),"",IF(COUNTIFS(Quotes!$A$5:$A$84,$A62,Quotes!$B$5:$B$84,E$38,Quotes!$AB$5:$AB$84,"&gt;0")=0,"—",SUMIFS(Quotes!$AB$5:$AB$84,Quotes!$A$5:$A$84,$A62,Quotes!$B$5:$B$84,E$38)))</f>
      </c>
      <c r="F62" s="16">
        <f>IF(OR($A62="",F$38=""),"",IF(COUNTIFS(Quotes!$A$5:$A$84,$A62,Quotes!$B$5:$B$84,F$38,Quotes!$AB$5:$AB$84,"&gt;0")=0,"—",SUMIFS(Quotes!$AB$5:$AB$84,Quotes!$A$5:$A$84,$A62,Quotes!$B$5:$B$84,F$38)))</f>
      </c>
      <c r="G62" s="16">
        <f>IF(OR($A62="",G$38=""),"",IF(COUNTIFS(Quotes!$A$5:$A$84,$A62,Quotes!$B$5:$B$84,G$38,Quotes!$AB$5:$AB$84,"&gt;0")=0,"—",SUMIFS(Quotes!$AB$5:$AB$84,Quotes!$A$5:$A$84,$A62,Quotes!$B$5:$B$84,G$38)))</f>
      </c>
      <c r="H62" s="16">
        <f>IF(OR($A62="",H$38=""),"",IF(COUNTIFS(Quotes!$A$5:$A$84,$A62,Quotes!$B$5:$B$84,H$38,Quotes!$AB$5:$AB$84,"&gt;0")=0,"—",SUMIFS(Quotes!$AB$5:$AB$84,Quotes!$A$5:$A$84,$A62,Quotes!$B$5:$B$84,H$38)))</f>
      </c>
      <c r="I62" s="16">
        <f>IF(OR($A62="",I$38=""),"",IF(COUNTIFS(Quotes!$A$5:$A$84,$A62,Quotes!$B$5:$B$84,I$38,Quotes!$AB$5:$AB$84,"&gt;0")=0,"—",SUMIFS(Quotes!$AB$5:$AB$84,Quotes!$A$5:$A$84,$A62,Quotes!$B$5:$B$84,I$38)))</f>
      </c>
      <c r="J62" s="16">
        <f>IF(OR($A62="",J$38=""),"",IF(COUNTIFS(Quotes!$A$5:$A$84,$A62,Quotes!$B$5:$B$84,J$38,Quotes!$AB$5:$AB$84,"&gt;0")=0,"—",SUMIFS(Quotes!$AB$5:$AB$84,Quotes!$A$5:$A$84,$A62,Quotes!$B$5:$B$84,J$38)))</f>
      </c>
    </row>
    <row r="63">
      <c r="A63" s="17">
        <f>IF($A$29="","",$A$29)</f>
      </c>
      <c r="B63" s="3">
        <f>IF($A$29="","",$B$29)</f>
      </c>
      <c r="C63" s="16">
        <f>IF(OR($A63="",C$38=""),"",IF(COUNTIFS(Quotes!$A$5:$A$84,$A63,Quotes!$B$5:$B$84,C$38,Quotes!$AB$5:$AB$84,"&gt;0")=0,"—",SUMIFS(Quotes!$AB$5:$AB$84,Quotes!$A$5:$A$84,$A63,Quotes!$B$5:$B$84,C$38)))</f>
      </c>
      <c r="D63" s="16">
        <f>IF(OR($A63="",D$38=""),"",IF(COUNTIFS(Quotes!$A$5:$A$84,$A63,Quotes!$B$5:$B$84,D$38,Quotes!$AB$5:$AB$84,"&gt;0")=0,"—",SUMIFS(Quotes!$AB$5:$AB$84,Quotes!$A$5:$A$84,$A63,Quotes!$B$5:$B$84,D$38)))</f>
      </c>
      <c r="E63" s="16">
        <f>IF(OR($A63="",E$38=""),"",IF(COUNTIFS(Quotes!$A$5:$A$84,$A63,Quotes!$B$5:$B$84,E$38,Quotes!$AB$5:$AB$84,"&gt;0")=0,"—",SUMIFS(Quotes!$AB$5:$AB$84,Quotes!$A$5:$A$84,$A63,Quotes!$B$5:$B$84,E$38)))</f>
      </c>
      <c r="F63" s="16">
        <f>IF(OR($A63="",F$38=""),"",IF(COUNTIFS(Quotes!$A$5:$A$84,$A63,Quotes!$B$5:$B$84,F$38,Quotes!$AB$5:$AB$84,"&gt;0")=0,"—",SUMIFS(Quotes!$AB$5:$AB$84,Quotes!$A$5:$A$84,$A63,Quotes!$B$5:$B$84,F$38)))</f>
      </c>
      <c r="G63" s="16">
        <f>IF(OR($A63="",G$38=""),"",IF(COUNTIFS(Quotes!$A$5:$A$84,$A63,Quotes!$B$5:$B$84,G$38,Quotes!$AB$5:$AB$84,"&gt;0")=0,"—",SUMIFS(Quotes!$AB$5:$AB$84,Quotes!$A$5:$A$84,$A63,Quotes!$B$5:$B$84,G$38)))</f>
      </c>
      <c r="H63" s="16">
        <f>IF(OR($A63="",H$38=""),"",IF(COUNTIFS(Quotes!$A$5:$A$84,$A63,Quotes!$B$5:$B$84,H$38,Quotes!$AB$5:$AB$84,"&gt;0")=0,"—",SUMIFS(Quotes!$AB$5:$AB$84,Quotes!$A$5:$A$84,$A63,Quotes!$B$5:$B$84,H$38)))</f>
      </c>
      <c r="I63" s="16">
        <f>IF(OR($A63="",I$38=""),"",IF(COUNTIFS(Quotes!$A$5:$A$84,$A63,Quotes!$B$5:$B$84,I$38,Quotes!$AB$5:$AB$84,"&gt;0")=0,"—",SUMIFS(Quotes!$AB$5:$AB$84,Quotes!$A$5:$A$84,$A63,Quotes!$B$5:$B$84,I$38)))</f>
      </c>
      <c r="J63" s="16">
        <f>IF(OR($A63="",J$38=""),"",IF(COUNTIFS(Quotes!$A$5:$A$84,$A63,Quotes!$B$5:$B$84,J$38,Quotes!$AB$5:$AB$84,"&gt;0")=0,"—",SUMIFS(Quotes!$AB$5:$AB$84,Quotes!$A$5:$A$84,$A63,Quotes!$B$5:$B$84,J$38)))</f>
      </c>
    </row>
    <row r="64">
      <c r="A64" s="17">
        <f>IF($A$30="","",$A$30)</f>
      </c>
      <c r="B64" s="3">
        <f>IF($A$30="","",$B$30)</f>
      </c>
      <c r="C64" s="16">
        <f>IF(OR($A64="",C$38=""),"",IF(COUNTIFS(Quotes!$A$5:$A$84,$A64,Quotes!$B$5:$B$84,C$38,Quotes!$AB$5:$AB$84,"&gt;0")=0,"—",SUMIFS(Quotes!$AB$5:$AB$84,Quotes!$A$5:$A$84,$A64,Quotes!$B$5:$B$84,C$38)))</f>
      </c>
      <c r="D64" s="16">
        <f>IF(OR($A64="",D$38=""),"",IF(COUNTIFS(Quotes!$A$5:$A$84,$A64,Quotes!$B$5:$B$84,D$38,Quotes!$AB$5:$AB$84,"&gt;0")=0,"—",SUMIFS(Quotes!$AB$5:$AB$84,Quotes!$A$5:$A$84,$A64,Quotes!$B$5:$B$84,D$38)))</f>
      </c>
      <c r="E64" s="16">
        <f>IF(OR($A64="",E$38=""),"",IF(COUNTIFS(Quotes!$A$5:$A$84,$A64,Quotes!$B$5:$B$84,E$38,Quotes!$AB$5:$AB$84,"&gt;0")=0,"—",SUMIFS(Quotes!$AB$5:$AB$84,Quotes!$A$5:$A$84,$A64,Quotes!$B$5:$B$84,E$38)))</f>
      </c>
      <c r="F64" s="16">
        <f>IF(OR($A64="",F$38=""),"",IF(COUNTIFS(Quotes!$A$5:$A$84,$A64,Quotes!$B$5:$B$84,F$38,Quotes!$AB$5:$AB$84,"&gt;0")=0,"—",SUMIFS(Quotes!$AB$5:$AB$84,Quotes!$A$5:$A$84,$A64,Quotes!$B$5:$B$84,F$38)))</f>
      </c>
      <c r="G64" s="16">
        <f>IF(OR($A64="",G$38=""),"",IF(COUNTIFS(Quotes!$A$5:$A$84,$A64,Quotes!$B$5:$B$84,G$38,Quotes!$AB$5:$AB$84,"&gt;0")=0,"—",SUMIFS(Quotes!$AB$5:$AB$84,Quotes!$A$5:$A$84,$A64,Quotes!$B$5:$B$84,G$38)))</f>
      </c>
      <c r="H64" s="16">
        <f>IF(OR($A64="",H$38=""),"",IF(COUNTIFS(Quotes!$A$5:$A$84,$A64,Quotes!$B$5:$B$84,H$38,Quotes!$AB$5:$AB$84,"&gt;0")=0,"—",SUMIFS(Quotes!$AB$5:$AB$84,Quotes!$A$5:$A$84,$A64,Quotes!$B$5:$B$84,H$38)))</f>
      </c>
      <c r="I64" s="16">
        <f>IF(OR($A64="",I$38=""),"",IF(COUNTIFS(Quotes!$A$5:$A$84,$A64,Quotes!$B$5:$B$84,I$38,Quotes!$AB$5:$AB$84,"&gt;0")=0,"—",SUMIFS(Quotes!$AB$5:$AB$84,Quotes!$A$5:$A$84,$A64,Quotes!$B$5:$B$84,I$38)))</f>
      </c>
      <c r="J64" s="16">
        <f>IF(OR($A64="",J$38=""),"",IF(COUNTIFS(Quotes!$A$5:$A$84,$A64,Quotes!$B$5:$B$84,J$38,Quotes!$AB$5:$AB$84,"&gt;0")=0,"—",SUMIFS(Quotes!$AB$5:$AB$84,Quotes!$A$5:$A$84,$A64,Quotes!$B$5:$B$84,J$38)))</f>
      </c>
    </row>
    <row r="65">
      <c r="A65" s="17">
        <f>IF($A$31="","",$A$31)</f>
      </c>
      <c r="B65" s="3">
        <f>IF($A$31="","",$B$31)</f>
      </c>
      <c r="C65" s="16">
        <f>IF(OR($A65="",C$38=""),"",IF(COUNTIFS(Quotes!$A$5:$A$84,$A65,Quotes!$B$5:$B$84,C$38,Quotes!$AB$5:$AB$84,"&gt;0")=0,"—",SUMIFS(Quotes!$AB$5:$AB$84,Quotes!$A$5:$A$84,$A65,Quotes!$B$5:$B$84,C$38)))</f>
      </c>
      <c r="D65" s="16">
        <f>IF(OR($A65="",D$38=""),"",IF(COUNTIFS(Quotes!$A$5:$A$84,$A65,Quotes!$B$5:$B$84,D$38,Quotes!$AB$5:$AB$84,"&gt;0")=0,"—",SUMIFS(Quotes!$AB$5:$AB$84,Quotes!$A$5:$A$84,$A65,Quotes!$B$5:$B$84,D$38)))</f>
      </c>
      <c r="E65" s="16">
        <f>IF(OR($A65="",E$38=""),"",IF(COUNTIFS(Quotes!$A$5:$A$84,$A65,Quotes!$B$5:$B$84,E$38,Quotes!$AB$5:$AB$84,"&gt;0")=0,"—",SUMIFS(Quotes!$AB$5:$AB$84,Quotes!$A$5:$A$84,$A65,Quotes!$B$5:$B$84,E$38)))</f>
      </c>
      <c r="F65" s="16">
        <f>IF(OR($A65="",F$38=""),"",IF(COUNTIFS(Quotes!$A$5:$A$84,$A65,Quotes!$B$5:$B$84,F$38,Quotes!$AB$5:$AB$84,"&gt;0")=0,"—",SUMIFS(Quotes!$AB$5:$AB$84,Quotes!$A$5:$A$84,$A65,Quotes!$B$5:$B$84,F$38)))</f>
      </c>
      <c r="G65" s="16">
        <f>IF(OR($A65="",G$38=""),"",IF(COUNTIFS(Quotes!$A$5:$A$84,$A65,Quotes!$B$5:$B$84,G$38,Quotes!$AB$5:$AB$84,"&gt;0")=0,"—",SUMIFS(Quotes!$AB$5:$AB$84,Quotes!$A$5:$A$84,$A65,Quotes!$B$5:$B$84,G$38)))</f>
      </c>
      <c r="H65" s="16">
        <f>IF(OR($A65="",H$38=""),"",IF(COUNTIFS(Quotes!$A$5:$A$84,$A65,Quotes!$B$5:$B$84,H$38,Quotes!$AB$5:$AB$84,"&gt;0")=0,"—",SUMIFS(Quotes!$AB$5:$AB$84,Quotes!$A$5:$A$84,$A65,Quotes!$B$5:$B$84,H$38)))</f>
      </c>
      <c r="I65" s="16">
        <f>IF(OR($A65="",I$38=""),"",IF(COUNTIFS(Quotes!$A$5:$A$84,$A65,Quotes!$B$5:$B$84,I$38,Quotes!$AB$5:$AB$84,"&gt;0")=0,"—",SUMIFS(Quotes!$AB$5:$AB$84,Quotes!$A$5:$A$84,$A65,Quotes!$B$5:$B$84,I$38)))</f>
      </c>
      <c r="J65" s="16">
        <f>IF(OR($A65="",J$38=""),"",IF(COUNTIFS(Quotes!$A$5:$A$84,$A65,Quotes!$B$5:$B$84,J$38,Quotes!$AB$5:$AB$84,"&gt;0")=0,"—",SUMIFS(Quotes!$AB$5:$AB$84,Quotes!$A$5:$A$84,$A65,Quotes!$B$5:$B$84,J$38)))</f>
      </c>
    </row>
    <row r="66">
      <c r="A66" s="17">
        <f>IF($A$32="","",$A$32)</f>
      </c>
      <c r="B66" s="3">
        <f>IF($A$32="","",$B$32)</f>
      </c>
      <c r="C66" s="16">
        <f>IF(OR($A66="",C$38=""),"",IF(COUNTIFS(Quotes!$A$5:$A$84,$A66,Quotes!$B$5:$B$84,C$38,Quotes!$AB$5:$AB$84,"&gt;0")=0,"—",SUMIFS(Quotes!$AB$5:$AB$84,Quotes!$A$5:$A$84,$A66,Quotes!$B$5:$B$84,C$38)))</f>
      </c>
      <c r="D66" s="16">
        <f>IF(OR($A66="",D$38=""),"",IF(COUNTIFS(Quotes!$A$5:$A$84,$A66,Quotes!$B$5:$B$84,D$38,Quotes!$AB$5:$AB$84,"&gt;0")=0,"—",SUMIFS(Quotes!$AB$5:$AB$84,Quotes!$A$5:$A$84,$A66,Quotes!$B$5:$B$84,D$38)))</f>
      </c>
      <c r="E66" s="16">
        <f>IF(OR($A66="",E$38=""),"",IF(COUNTIFS(Quotes!$A$5:$A$84,$A66,Quotes!$B$5:$B$84,E$38,Quotes!$AB$5:$AB$84,"&gt;0")=0,"—",SUMIFS(Quotes!$AB$5:$AB$84,Quotes!$A$5:$A$84,$A66,Quotes!$B$5:$B$84,E$38)))</f>
      </c>
      <c r="F66" s="16">
        <f>IF(OR($A66="",F$38=""),"",IF(COUNTIFS(Quotes!$A$5:$A$84,$A66,Quotes!$B$5:$B$84,F$38,Quotes!$AB$5:$AB$84,"&gt;0")=0,"—",SUMIFS(Quotes!$AB$5:$AB$84,Quotes!$A$5:$A$84,$A66,Quotes!$B$5:$B$84,F$38)))</f>
      </c>
      <c r="G66" s="16">
        <f>IF(OR($A66="",G$38=""),"",IF(COUNTIFS(Quotes!$A$5:$A$84,$A66,Quotes!$B$5:$B$84,G$38,Quotes!$AB$5:$AB$84,"&gt;0")=0,"—",SUMIFS(Quotes!$AB$5:$AB$84,Quotes!$A$5:$A$84,$A66,Quotes!$B$5:$B$84,G$38)))</f>
      </c>
      <c r="H66" s="16">
        <f>IF(OR($A66="",H$38=""),"",IF(COUNTIFS(Quotes!$A$5:$A$84,$A66,Quotes!$B$5:$B$84,H$38,Quotes!$AB$5:$AB$84,"&gt;0")=0,"—",SUMIFS(Quotes!$AB$5:$AB$84,Quotes!$A$5:$A$84,$A66,Quotes!$B$5:$B$84,H$38)))</f>
      </c>
      <c r="I66" s="16">
        <f>IF(OR($A66="",I$38=""),"",IF(COUNTIFS(Quotes!$A$5:$A$84,$A66,Quotes!$B$5:$B$84,I$38,Quotes!$AB$5:$AB$84,"&gt;0")=0,"—",SUMIFS(Quotes!$AB$5:$AB$84,Quotes!$A$5:$A$84,$A66,Quotes!$B$5:$B$84,I$38)))</f>
      </c>
      <c r="J66" s="16">
        <f>IF(OR($A66="",J$38=""),"",IF(COUNTIFS(Quotes!$A$5:$A$84,$A66,Quotes!$B$5:$B$84,J$38,Quotes!$AB$5:$AB$84,"&gt;0")=0,"—",SUMIFS(Quotes!$AB$5:$AB$84,Quotes!$A$5:$A$84,$A66,Quotes!$B$5:$B$84,J$38)))</f>
      </c>
    </row>
    <row r="67">
      <c r="A67" s="17">
        <f>IF($A$33="","",$A$33)</f>
      </c>
      <c r="B67" s="3">
        <f>IF($A$33="","",$B$33)</f>
      </c>
      <c r="C67" s="16">
        <f>IF(OR($A67="",C$38=""),"",IF(COUNTIFS(Quotes!$A$5:$A$84,$A67,Quotes!$B$5:$B$84,C$38,Quotes!$AB$5:$AB$84,"&gt;0")=0,"—",SUMIFS(Quotes!$AB$5:$AB$84,Quotes!$A$5:$A$84,$A67,Quotes!$B$5:$B$84,C$38)))</f>
      </c>
      <c r="D67" s="16">
        <f>IF(OR($A67="",D$38=""),"",IF(COUNTIFS(Quotes!$A$5:$A$84,$A67,Quotes!$B$5:$B$84,D$38,Quotes!$AB$5:$AB$84,"&gt;0")=0,"—",SUMIFS(Quotes!$AB$5:$AB$84,Quotes!$A$5:$A$84,$A67,Quotes!$B$5:$B$84,D$38)))</f>
      </c>
      <c r="E67" s="16">
        <f>IF(OR($A67="",E$38=""),"",IF(COUNTIFS(Quotes!$A$5:$A$84,$A67,Quotes!$B$5:$B$84,E$38,Quotes!$AB$5:$AB$84,"&gt;0")=0,"—",SUMIFS(Quotes!$AB$5:$AB$84,Quotes!$A$5:$A$84,$A67,Quotes!$B$5:$B$84,E$38)))</f>
      </c>
      <c r="F67" s="16">
        <f>IF(OR($A67="",F$38=""),"",IF(COUNTIFS(Quotes!$A$5:$A$84,$A67,Quotes!$B$5:$B$84,F$38,Quotes!$AB$5:$AB$84,"&gt;0")=0,"—",SUMIFS(Quotes!$AB$5:$AB$84,Quotes!$A$5:$A$84,$A67,Quotes!$B$5:$B$84,F$38)))</f>
      </c>
      <c r="G67" s="16">
        <f>IF(OR($A67="",G$38=""),"",IF(COUNTIFS(Quotes!$A$5:$A$84,$A67,Quotes!$B$5:$B$84,G$38,Quotes!$AB$5:$AB$84,"&gt;0")=0,"—",SUMIFS(Quotes!$AB$5:$AB$84,Quotes!$A$5:$A$84,$A67,Quotes!$B$5:$B$84,G$38)))</f>
      </c>
      <c r="H67" s="16">
        <f>IF(OR($A67="",H$38=""),"",IF(COUNTIFS(Quotes!$A$5:$A$84,$A67,Quotes!$B$5:$B$84,H$38,Quotes!$AB$5:$AB$84,"&gt;0")=0,"—",SUMIFS(Quotes!$AB$5:$AB$84,Quotes!$A$5:$A$84,$A67,Quotes!$B$5:$B$84,H$38)))</f>
      </c>
      <c r="I67" s="16">
        <f>IF(OR($A67="",I$38=""),"",IF(COUNTIFS(Quotes!$A$5:$A$84,$A67,Quotes!$B$5:$B$84,I$38,Quotes!$AB$5:$AB$84,"&gt;0")=0,"—",SUMIFS(Quotes!$AB$5:$AB$84,Quotes!$A$5:$A$84,$A67,Quotes!$B$5:$B$84,I$38)))</f>
      </c>
      <c r="J67" s="16">
        <f>IF(OR($A67="",J$38=""),"",IF(COUNTIFS(Quotes!$A$5:$A$84,$A67,Quotes!$B$5:$B$84,J$38,Quotes!$AB$5:$AB$84,"&gt;0")=0,"—",SUMIFS(Quotes!$AB$5:$AB$84,Quotes!$A$5:$A$84,$A67,Quotes!$B$5:$B$84,J$38)))</f>
      </c>
    </row>
    <row r="68">
      <c r="A68" s="17">
        <f>IF($A$34="","",$A$34)</f>
      </c>
      <c r="B68" s="3">
        <f>IF($A$34="","",$B$34)</f>
      </c>
      <c r="C68" s="16">
        <f>IF(OR($A68="",C$38=""),"",IF(COUNTIFS(Quotes!$A$5:$A$84,$A68,Quotes!$B$5:$B$84,C$38,Quotes!$AB$5:$AB$84,"&gt;0")=0,"—",SUMIFS(Quotes!$AB$5:$AB$84,Quotes!$A$5:$A$84,$A68,Quotes!$B$5:$B$84,C$38)))</f>
      </c>
      <c r="D68" s="16">
        <f>IF(OR($A68="",D$38=""),"",IF(COUNTIFS(Quotes!$A$5:$A$84,$A68,Quotes!$B$5:$B$84,D$38,Quotes!$AB$5:$AB$84,"&gt;0")=0,"—",SUMIFS(Quotes!$AB$5:$AB$84,Quotes!$A$5:$A$84,$A68,Quotes!$B$5:$B$84,D$38)))</f>
      </c>
      <c r="E68" s="16">
        <f>IF(OR($A68="",E$38=""),"",IF(COUNTIFS(Quotes!$A$5:$A$84,$A68,Quotes!$B$5:$B$84,E$38,Quotes!$AB$5:$AB$84,"&gt;0")=0,"—",SUMIFS(Quotes!$AB$5:$AB$84,Quotes!$A$5:$A$84,$A68,Quotes!$B$5:$B$84,E$38)))</f>
      </c>
      <c r="F68" s="16">
        <f>IF(OR($A68="",F$38=""),"",IF(COUNTIFS(Quotes!$A$5:$A$84,$A68,Quotes!$B$5:$B$84,F$38,Quotes!$AB$5:$AB$84,"&gt;0")=0,"—",SUMIFS(Quotes!$AB$5:$AB$84,Quotes!$A$5:$A$84,$A68,Quotes!$B$5:$B$84,F$38)))</f>
      </c>
      <c r="G68" s="16">
        <f>IF(OR($A68="",G$38=""),"",IF(COUNTIFS(Quotes!$A$5:$A$84,$A68,Quotes!$B$5:$B$84,G$38,Quotes!$AB$5:$AB$84,"&gt;0")=0,"—",SUMIFS(Quotes!$AB$5:$AB$84,Quotes!$A$5:$A$84,$A68,Quotes!$B$5:$B$84,G$38)))</f>
      </c>
      <c r="H68" s="16">
        <f>IF(OR($A68="",H$38=""),"",IF(COUNTIFS(Quotes!$A$5:$A$84,$A68,Quotes!$B$5:$B$84,H$38,Quotes!$AB$5:$AB$84,"&gt;0")=0,"—",SUMIFS(Quotes!$AB$5:$AB$84,Quotes!$A$5:$A$84,$A68,Quotes!$B$5:$B$84,H$38)))</f>
      </c>
      <c r="I68" s="16">
        <f>IF(OR($A68="",I$38=""),"",IF(COUNTIFS(Quotes!$A$5:$A$84,$A68,Quotes!$B$5:$B$84,I$38,Quotes!$AB$5:$AB$84,"&gt;0")=0,"—",SUMIFS(Quotes!$AB$5:$AB$84,Quotes!$A$5:$A$84,$A68,Quotes!$B$5:$B$84,I$38)))</f>
      </c>
      <c r="J68" s="16">
        <f>IF(OR($A68="",J$38=""),"",IF(COUNTIFS(Quotes!$A$5:$A$84,$A68,Quotes!$B$5:$B$84,J$38,Quotes!$AB$5:$AB$84,"&gt;0")=0,"—",SUMIFS(Quotes!$AB$5:$AB$84,Quotes!$A$5:$A$84,$A68,Quotes!$B$5:$B$84,J$38)))</f>
      </c>
    </row>
    <row r="71">
      <c r="A71" s="2" t="inlineStr">
        <is>
          <t xml:space="preserve">Suppliers</t>
        </is>
      </c>
    </row>
    <row r="72">
      <c r="A72" s="21" t="inlineStr">
        <is>
          <t xml:space="preserve">Supplier</t>
        </is>
      </c>
      <c r="B72" s="21" t="inlineStr">
        <is>
          <t xml:space="preserve">Currency</t>
        </is>
      </c>
      <c r="C72" s="21" t="inlineStr">
        <is>
          <t xml:space="preserve">Lines quoted</t>
        </is>
      </c>
      <c r="D72" s="21" t="inlineStr">
        <is>
          <t xml:space="preserve">Lines not quoted</t>
        </is>
      </c>
      <c r="E72" s="21" t="inlineStr">
        <is>
          <t xml:space="preserve">Landed total, quoted lines</t>
        </is>
      </c>
      <c r="F72" s="21" t="inlineStr">
        <is>
          <t xml:space="preserve">Lines where best</t>
        </is>
      </c>
      <c r="G72" s="21" t="inlineStr">
        <is>
          <t xml:space="preserve">Longest lead time (days)</t>
        </is>
      </c>
      <c r="H72" s="21" t="inlineStr">
        <is>
          <t xml:space="preserve">Warning</t>
        </is>
      </c>
    </row>
    <row r="73">
      <c r="A73" s="3">
        <f>IF(Suppliers!$A$5="","",Suppliers!$A$5)</f>
      </c>
      <c r="B73" s="3">
        <f>IF($A73="","",Suppliers!$B$5&amp;"")</f>
      </c>
      <c r="C73" s="17">
        <f>IF($A73="","",COUNTIFS(Quotes!$B$5:$B$84,$A73,Quotes!$AA$5:$AA$84,"&gt;0"))</f>
      </c>
      <c r="D73" s="17">
        <f>IF($A73="","",COUNT(Lines!$D$5:$D$34)-$C73)</f>
      </c>
      <c r="E73" s="15">
        <f>IF($A73="","",SUMIFS(Quotes!$AA$5:$AA$84,Quotes!$B$5:$B$84,$A73))</f>
      </c>
      <c r="F73" s="17">
        <f>IF($A73="","",COUNTIFS(Quotes!$B$5:$B$84,$A73,Quotes!$AE$5:$AE$84,1))</f>
      </c>
      <c r="G73" s="17">
        <f>IF($A73="","",SUMPRODUCT(MAX((Quotes!$B$5:$B$84=$A73)*Quotes!$N$5:$N$84)))</f>
      </c>
      <c r="H73" s="3">
        <f>IF($A73="","",IF(COUNTIFS(Quotes!$B$5:$B$84,$A73,Quotes!$AD$5:$AD$84,"Exchange rate missing*")&gt;0,"Exchange rate missing: set it in Setup",""))</f>
      </c>
    </row>
    <row r="74">
      <c r="A74" s="3">
        <f>IF(Suppliers!$A$6="","",Suppliers!$A$6)</f>
      </c>
      <c r="B74" s="3">
        <f>IF($A74="","",Suppliers!$B$6&amp;"")</f>
      </c>
      <c r="C74" s="17">
        <f>IF($A74="","",COUNTIFS(Quotes!$B$5:$B$84,$A74,Quotes!$AA$5:$AA$84,"&gt;0"))</f>
      </c>
      <c r="D74" s="17">
        <f>IF($A74="","",COUNT(Lines!$D$5:$D$34)-$C74)</f>
      </c>
      <c r="E74" s="15">
        <f>IF($A74="","",SUMIFS(Quotes!$AA$5:$AA$84,Quotes!$B$5:$B$84,$A74))</f>
      </c>
      <c r="F74" s="17">
        <f>IF($A74="","",COUNTIFS(Quotes!$B$5:$B$84,$A74,Quotes!$AE$5:$AE$84,1))</f>
      </c>
      <c r="G74" s="17">
        <f>IF($A74="","",SUMPRODUCT(MAX((Quotes!$B$5:$B$84=$A74)*Quotes!$N$5:$N$84)))</f>
      </c>
      <c r="H74" s="3">
        <f>IF($A74="","",IF(COUNTIFS(Quotes!$B$5:$B$84,$A74,Quotes!$AD$5:$AD$84,"Exchange rate missing*")&gt;0,"Exchange rate missing: set it in Setup",""))</f>
      </c>
    </row>
    <row r="75">
      <c r="A75" s="3">
        <f>IF(Suppliers!$A$7="","",Suppliers!$A$7)</f>
      </c>
      <c r="B75" s="3">
        <f>IF($A75="","",Suppliers!$B$7&amp;"")</f>
      </c>
      <c r="C75" s="17">
        <f>IF($A75="","",COUNTIFS(Quotes!$B$5:$B$84,$A75,Quotes!$AA$5:$AA$84,"&gt;0"))</f>
      </c>
      <c r="D75" s="17">
        <f>IF($A75="","",COUNT(Lines!$D$5:$D$34)-$C75)</f>
      </c>
      <c r="E75" s="15">
        <f>IF($A75="","",SUMIFS(Quotes!$AA$5:$AA$84,Quotes!$B$5:$B$84,$A75))</f>
      </c>
      <c r="F75" s="17">
        <f>IF($A75="","",COUNTIFS(Quotes!$B$5:$B$84,$A75,Quotes!$AE$5:$AE$84,1))</f>
      </c>
      <c r="G75" s="17">
        <f>IF($A75="","",SUMPRODUCT(MAX((Quotes!$B$5:$B$84=$A75)*Quotes!$N$5:$N$84)))</f>
      </c>
      <c r="H75" s="3">
        <f>IF($A75="","",IF(COUNTIFS(Quotes!$B$5:$B$84,$A75,Quotes!$AD$5:$AD$84,"Exchange rate missing*")&gt;0,"Exchange rate missing: set it in Setup",""))</f>
      </c>
    </row>
    <row r="76">
      <c r="A76" s="3">
        <f>IF(Suppliers!$A$8="","",Suppliers!$A$8)</f>
      </c>
      <c r="B76" s="3">
        <f>IF($A76="","",Suppliers!$B$8&amp;"")</f>
      </c>
      <c r="C76" s="17">
        <f>IF($A76="","",COUNTIFS(Quotes!$B$5:$B$84,$A76,Quotes!$AA$5:$AA$84,"&gt;0"))</f>
      </c>
      <c r="D76" s="17">
        <f>IF($A76="","",COUNT(Lines!$D$5:$D$34)-$C76)</f>
      </c>
      <c r="E76" s="15">
        <f>IF($A76="","",SUMIFS(Quotes!$AA$5:$AA$84,Quotes!$B$5:$B$84,$A76))</f>
      </c>
      <c r="F76" s="17">
        <f>IF($A76="","",COUNTIFS(Quotes!$B$5:$B$84,$A76,Quotes!$AE$5:$AE$84,1))</f>
      </c>
      <c r="G76" s="17">
        <f>IF($A76="","",SUMPRODUCT(MAX((Quotes!$B$5:$B$84=$A76)*Quotes!$N$5:$N$84)))</f>
      </c>
      <c r="H76" s="3">
        <f>IF($A76="","",IF(COUNTIFS(Quotes!$B$5:$B$84,$A76,Quotes!$AD$5:$AD$84,"Exchange rate missing*")&gt;0,"Exchange rate missing: set it in Setup",""))</f>
      </c>
    </row>
    <row r="77">
      <c r="A77" s="3">
        <f>IF(Suppliers!$A$9="","",Suppliers!$A$9)</f>
      </c>
      <c r="B77" s="3">
        <f>IF($A77="","",Suppliers!$B$9&amp;"")</f>
      </c>
      <c r="C77" s="17">
        <f>IF($A77="","",COUNTIFS(Quotes!$B$5:$B$84,$A77,Quotes!$AA$5:$AA$84,"&gt;0"))</f>
      </c>
      <c r="D77" s="17">
        <f>IF($A77="","",COUNT(Lines!$D$5:$D$34)-$C77)</f>
      </c>
      <c r="E77" s="15">
        <f>IF($A77="","",SUMIFS(Quotes!$AA$5:$AA$84,Quotes!$B$5:$B$84,$A77))</f>
      </c>
      <c r="F77" s="17">
        <f>IF($A77="","",COUNTIFS(Quotes!$B$5:$B$84,$A77,Quotes!$AE$5:$AE$84,1))</f>
      </c>
      <c r="G77" s="17">
        <f>IF($A77="","",SUMPRODUCT(MAX((Quotes!$B$5:$B$84=$A77)*Quotes!$N$5:$N$84)))</f>
      </c>
      <c r="H77" s="3">
        <f>IF($A77="","",IF(COUNTIFS(Quotes!$B$5:$B$84,$A77,Quotes!$AD$5:$AD$84,"Exchange rate missing*")&gt;0,"Exchange rate missing: set it in Setup",""))</f>
      </c>
    </row>
    <row r="78">
      <c r="A78" s="3">
        <f>IF(Suppliers!$A$10="","",Suppliers!$A$10)</f>
      </c>
      <c r="B78" s="3">
        <f>IF($A78="","",Suppliers!$B$10&amp;"")</f>
      </c>
      <c r="C78" s="17">
        <f>IF($A78="","",COUNTIFS(Quotes!$B$5:$B$84,$A78,Quotes!$AA$5:$AA$84,"&gt;0"))</f>
      </c>
      <c r="D78" s="17">
        <f>IF($A78="","",COUNT(Lines!$D$5:$D$34)-$C78)</f>
      </c>
      <c r="E78" s="15">
        <f>IF($A78="","",SUMIFS(Quotes!$AA$5:$AA$84,Quotes!$B$5:$B$84,$A78))</f>
      </c>
      <c r="F78" s="17">
        <f>IF($A78="","",COUNTIFS(Quotes!$B$5:$B$84,$A78,Quotes!$AE$5:$AE$84,1))</f>
      </c>
      <c r="G78" s="17">
        <f>IF($A78="","",SUMPRODUCT(MAX((Quotes!$B$5:$B$84=$A78)*Quotes!$N$5:$N$84)))</f>
      </c>
      <c r="H78" s="3">
        <f>IF($A78="","",IF(COUNTIFS(Quotes!$B$5:$B$84,$A78,Quotes!$AD$5:$AD$84,"Exchange rate missing*")&gt;0,"Exchange rate missing: set it in Setup",""))</f>
      </c>
    </row>
    <row r="79">
      <c r="A79" s="3">
        <f>IF(Suppliers!$A$11="","",Suppliers!$A$11)</f>
      </c>
      <c r="B79" s="3">
        <f>IF($A79="","",Suppliers!$B$11&amp;"")</f>
      </c>
      <c r="C79" s="17">
        <f>IF($A79="","",COUNTIFS(Quotes!$B$5:$B$84,$A79,Quotes!$AA$5:$AA$84,"&gt;0"))</f>
      </c>
      <c r="D79" s="17">
        <f>IF($A79="","",COUNT(Lines!$D$5:$D$34)-$C79)</f>
      </c>
      <c r="E79" s="15">
        <f>IF($A79="","",SUMIFS(Quotes!$AA$5:$AA$84,Quotes!$B$5:$B$84,$A79))</f>
      </c>
      <c r="F79" s="17">
        <f>IF($A79="","",COUNTIFS(Quotes!$B$5:$B$84,$A79,Quotes!$AE$5:$AE$84,1))</f>
      </c>
      <c r="G79" s="17">
        <f>IF($A79="","",SUMPRODUCT(MAX((Quotes!$B$5:$B$84=$A79)*Quotes!$N$5:$N$84)))</f>
      </c>
      <c r="H79" s="3">
        <f>IF($A79="","",IF(COUNTIFS(Quotes!$B$5:$B$84,$A79,Quotes!$AD$5:$AD$84,"Exchange rate missing*")&gt;0,"Exchange rate missing: set it in Setup",""))</f>
      </c>
    </row>
    <row r="80">
      <c r="A80" s="3">
        <f>IF(Suppliers!$A$12="","",Suppliers!$A$12)</f>
      </c>
      <c r="B80" s="3">
        <f>IF($A80="","",Suppliers!$B$12&amp;"")</f>
      </c>
      <c r="C80" s="17">
        <f>IF($A80="","",COUNTIFS(Quotes!$B$5:$B$84,$A80,Quotes!$AA$5:$AA$84,"&gt;0"))</f>
      </c>
      <c r="D80" s="17">
        <f>IF($A80="","",COUNT(Lines!$D$5:$D$34)-$C80)</f>
      </c>
      <c r="E80" s="15">
        <f>IF($A80="","",SUMIFS(Quotes!$AA$5:$AA$84,Quotes!$B$5:$B$84,$A80))</f>
      </c>
      <c r="F80" s="17">
        <f>IF($A80="","",COUNTIFS(Quotes!$B$5:$B$84,$A80,Quotes!$AE$5:$AE$84,1))</f>
      </c>
      <c r="G80" s="17">
        <f>IF($A80="","",SUMPRODUCT(MAX((Quotes!$B$5:$B$84=$A80)*Quotes!$N$5:$N$84)))</f>
      </c>
      <c r="H80" s="3">
        <f>IF($A80="","",IF(COUNTIFS(Quotes!$B$5:$B$84,$A80,Quotes!$AD$5:$AD$84,"Exchange rate missing*")&gt;0,"Exchange rate missing: set it in Setup",""))</f>
      </c>
    </row>
  </sheetData>
  <pageMargins left="0.5" right="0.5" top="0.6" bottom="0.6" header="0.3" footer="0.3"/>
  <pageSetup orientation="landscape" fitToWidth="1" fitToHeight="0"/>
</worksheet>
</file>

<file path=xl/worksheets/sheet7.xml><?xml version="1.0" encoding="utf-8"?>
<worksheet xmlns="http://schemas.openxmlformats.org/spreadsheetml/2006/main" xmlns:r="http://schemas.openxmlformats.org/officeDocument/2006/relationships">
  <sheetPr>
    <tabColor rgb="FF166534"/>
  </sheetPr>
  <sheetViews>
    <sheetView workbookViewId="0">
      <pane ySplit="4" topLeftCell="A5" activePane="bottomLeft" state="frozen"/>
      <selection pane="bottomLeft" activeCell="A5" sqref="A5"/>
    </sheetView>
  </sheetViews>
  <sheetFormatPr defaultRowHeight="15"/>
  <cols>
    <col min="1" max="1" width="30" customWidth="1"/>
    <col min="2" max="2" width="24" customWidth="1"/>
    <col min="3" max="3" width="11" customWidth="1"/>
    <col min="4" max="4" width="22" customWidth="1"/>
    <col min="5" max="5" width="14" customWidth="1"/>
    <col min="6" max="6" width="14" customWidth="1"/>
    <col min="7" max="7" width="34" customWidth="1"/>
  </cols>
  <sheetData>
    <row r="1">
      <c r="A1" s="1" t="inlineStr">
        <is>
          <t xml:space="preserve">Award</t>
        </is>
      </c>
    </row>
    <row r="2">
      <c r="A2" s="8" t="inlineStr">
        <is>
          <t xml:space="preserve">Choose who you buy each line from (yellow). It starts with the best offer from Compare. Freight and charges are split again over the lines you actually buy from each supplier.</t>
        </is>
      </c>
    </row>
    <row r="4" ht="32" customHeight="1">
      <c r="A4" s="21" t="inlineStr">
        <is>
          <t xml:space="preserve">Line</t>
        </is>
      </c>
      <c r="B4" s="21" t="inlineStr">
        <is>
          <t xml:space="preserve">Item</t>
        </is>
      </c>
      <c r="C4" s="21" t="inlineStr">
        <is>
          <t xml:space="preserve">Qty needed</t>
        </is>
      </c>
      <c r="D4" s="5" t="inlineStr">
        <is>
          <t xml:space="preserve">Buy from</t>
        </is>
      </c>
      <c r="E4" s="21" t="inlineStr">
        <is>
          <t xml:space="preserve">Landed total</t>
        </is>
      </c>
      <c r="F4" s="21" t="inlineStr">
        <is>
          <t xml:space="preserve">Per unit needed</t>
        </is>
      </c>
      <c r="G4" s="21" t="inlineStr">
        <is>
          <t xml:space="preserve">Status</t>
        </is>
      </c>
    </row>
    <row r="5">
      <c r="A5" s="17">
        <f>IF(Lines!$A5="","",Lines!$A5)</f>
      </c>
      <c r="B5" s="3">
        <f>IF($A5="","",Lines!$B5&amp;"")</f>
      </c>
      <c r="C5" s="17">
        <f>IF($A5="","",Lines!$D5)</f>
      </c>
      <c r="D5" s="6">
        <f>IF(OR($A5="",Compare!$E5="No valid offer"),"",Compare!$E5)</f>
      </c>
      <c r="E5" s="15">
        <f>IF($G5&lt;&gt;"OK","",SUMIFS(Quotes!$AN$5:$AN$84,Quotes!$A$5:$A$84,$A5,Quotes!$AK$5:$AK$84,1))</f>
      </c>
      <c r="F5" s="16">
        <f>IF($E5="","",$E5/$C5)</f>
      </c>
      <c r="G5" s="3">
        <f>IF($A5="","",IF($D5="","Choose a supplier",IF(COUNTIFS(Quotes!$A$5:$A$84,$A5,Quotes!$B$5:$B$84,$D5,Quotes!$AN$5:$AN$84,"&gt;0")=0,"No valid offer from this supplier","OK")))</f>
      </c>
    </row>
    <row r="6">
      <c r="A6" s="17">
        <f>IF(Lines!$A6="","",Lines!$A6)</f>
      </c>
      <c r="B6" s="3">
        <f>IF($A6="","",Lines!$B6&amp;"")</f>
      </c>
      <c r="C6" s="17">
        <f>IF($A6="","",Lines!$D6)</f>
      </c>
      <c r="D6" s="6">
        <f>IF(OR($A6="",Compare!$E6="No valid offer"),"",Compare!$E6)</f>
      </c>
      <c r="E6" s="15">
        <f>IF($G6&lt;&gt;"OK","",SUMIFS(Quotes!$AN$5:$AN$84,Quotes!$A$5:$A$84,$A6,Quotes!$AK$5:$AK$84,1))</f>
      </c>
      <c r="F6" s="16">
        <f>IF($E6="","",$E6/$C6)</f>
      </c>
      <c r="G6" s="3">
        <f>IF($A6="","",IF($D6="","Choose a supplier",IF(COUNTIFS(Quotes!$A$5:$A$84,$A6,Quotes!$B$5:$B$84,$D6,Quotes!$AN$5:$AN$84,"&gt;0")=0,"No valid offer from this supplier","OK")))</f>
      </c>
    </row>
    <row r="7">
      <c r="A7" s="17">
        <f>IF(Lines!$A7="","",Lines!$A7)</f>
      </c>
      <c r="B7" s="3">
        <f>IF($A7="","",Lines!$B7&amp;"")</f>
      </c>
      <c r="C7" s="17">
        <f>IF($A7="","",Lines!$D7)</f>
      </c>
      <c r="D7" s="6">
        <f>IF(OR($A7="",Compare!$E7="No valid offer"),"",Compare!$E7)</f>
      </c>
      <c r="E7" s="15">
        <f>IF($G7&lt;&gt;"OK","",SUMIFS(Quotes!$AN$5:$AN$84,Quotes!$A$5:$A$84,$A7,Quotes!$AK$5:$AK$84,1))</f>
      </c>
      <c r="F7" s="16">
        <f>IF($E7="","",$E7/$C7)</f>
      </c>
      <c r="G7" s="3">
        <f>IF($A7="","",IF($D7="","Choose a supplier",IF(COUNTIFS(Quotes!$A$5:$A$84,$A7,Quotes!$B$5:$B$84,$D7,Quotes!$AN$5:$AN$84,"&gt;0")=0,"No valid offer from this supplier","OK")))</f>
      </c>
    </row>
    <row r="8">
      <c r="A8" s="17">
        <f>IF(Lines!$A8="","",Lines!$A8)</f>
      </c>
      <c r="B8" s="3">
        <f>IF($A8="","",Lines!$B8&amp;"")</f>
      </c>
      <c r="C8" s="17">
        <f>IF($A8="","",Lines!$D8)</f>
      </c>
      <c r="D8" s="6">
        <f>IF(OR($A8="",Compare!$E8="No valid offer"),"",Compare!$E8)</f>
      </c>
      <c r="E8" s="15">
        <f>IF($G8&lt;&gt;"OK","",SUMIFS(Quotes!$AN$5:$AN$84,Quotes!$A$5:$A$84,$A8,Quotes!$AK$5:$AK$84,1))</f>
      </c>
      <c r="F8" s="16">
        <f>IF($E8="","",$E8/$C8)</f>
      </c>
      <c r="G8" s="3">
        <f>IF($A8="","",IF($D8="","Choose a supplier",IF(COUNTIFS(Quotes!$A$5:$A$84,$A8,Quotes!$B$5:$B$84,$D8,Quotes!$AN$5:$AN$84,"&gt;0")=0,"No valid offer from this supplier","OK")))</f>
      </c>
    </row>
    <row r="9">
      <c r="A9" s="17">
        <f>IF(Lines!$A9="","",Lines!$A9)</f>
      </c>
      <c r="B9" s="3">
        <f>IF($A9="","",Lines!$B9&amp;"")</f>
      </c>
      <c r="C9" s="17">
        <f>IF($A9="","",Lines!$D9)</f>
      </c>
      <c r="D9" s="6">
        <f>IF(OR($A9="",Compare!$E9="No valid offer"),"",Compare!$E9)</f>
      </c>
      <c r="E9" s="15">
        <f>IF($G9&lt;&gt;"OK","",SUMIFS(Quotes!$AN$5:$AN$84,Quotes!$A$5:$A$84,$A9,Quotes!$AK$5:$AK$84,1))</f>
      </c>
      <c r="F9" s="16">
        <f>IF($E9="","",$E9/$C9)</f>
      </c>
      <c r="G9" s="3">
        <f>IF($A9="","",IF($D9="","Choose a supplier",IF(COUNTIFS(Quotes!$A$5:$A$84,$A9,Quotes!$B$5:$B$84,$D9,Quotes!$AN$5:$AN$84,"&gt;0")=0,"No valid offer from this supplier","OK")))</f>
      </c>
    </row>
    <row r="10">
      <c r="A10" s="17">
        <f>IF(Lines!$A10="","",Lines!$A10)</f>
      </c>
      <c r="B10" s="3">
        <f>IF($A10="","",Lines!$B10&amp;"")</f>
      </c>
      <c r="C10" s="17">
        <f>IF($A10="","",Lines!$D10)</f>
      </c>
      <c r="D10" s="6">
        <f>IF(OR($A10="",Compare!$E10="No valid offer"),"",Compare!$E10)</f>
      </c>
      <c r="E10" s="15">
        <f>IF($G10&lt;&gt;"OK","",SUMIFS(Quotes!$AN$5:$AN$84,Quotes!$A$5:$A$84,$A10,Quotes!$AK$5:$AK$84,1))</f>
      </c>
      <c r="F10" s="16">
        <f>IF($E10="","",$E10/$C10)</f>
      </c>
      <c r="G10" s="3">
        <f>IF($A10="","",IF($D10="","Choose a supplier",IF(COUNTIFS(Quotes!$A$5:$A$84,$A10,Quotes!$B$5:$B$84,$D10,Quotes!$AN$5:$AN$84,"&gt;0")=0,"No valid offer from this supplier","OK")))</f>
      </c>
    </row>
    <row r="11">
      <c r="A11" s="17">
        <f>IF(Lines!$A11="","",Lines!$A11)</f>
      </c>
      <c r="B11" s="3">
        <f>IF($A11="","",Lines!$B11&amp;"")</f>
      </c>
      <c r="C11" s="17">
        <f>IF($A11="","",Lines!$D11)</f>
      </c>
      <c r="D11" s="6">
        <f>IF(OR($A11="",Compare!$E11="No valid offer"),"",Compare!$E11)</f>
      </c>
      <c r="E11" s="15">
        <f>IF($G11&lt;&gt;"OK","",SUMIFS(Quotes!$AN$5:$AN$84,Quotes!$A$5:$A$84,$A11,Quotes!$AK$5:$AK$84,1))</f>
      </c>
      <c r="F11" s="16">
        <f>IF($E11="","",$E11/$C11)</f>
      </c>
      <c r="G11" s="3">
        <f>IF($A11="","",IF($D11="","Choose a supplier",IF(COUNTIFS(Quotes!$A$5:$A$84,$A11,Quotes!$B$5:$B$84,$D11,Quotes!$AN$5:$AN$84,"&gt;0")=0,"No valid offer from this supplier","OK")))</f>
      </c>
    </row>
    <row r="12">
      <c r="A12" s="17">
        <f>IF(Lines!$A12="","",Lines!$A12)</f>
      </c>
      <c r="B12" s="3">
        <f>IF($A12="","",Lines!$B12&amp;"")</f>
      </c>
      <c r="C12" s="17">
        <f>IF($A12="","",Lines!$D12)</f>
      </c>
      <c r="D12" s="6">
        <f>IF(OR($A12="",Compare!$E12="No valid offer"),"",Compare!$E12)</f>
      </c>
      <c r="E12" s="15">
        <f>IF($G12&lt;&gt;"OK","",SUMIFS(Quotes!$AN$5:$AN$84,Quotes!$A$5:$A$84,$A12,Quotes!$AK$5:$AK$84,1))</f>
      </c>
      <c r="F12" s="16">
        <f>IF($E12="","",$E12/$C12)</f>
      </c>
      <c r="G12" s="3">
        <f>IF($A12="","",IF($D12="","Choose a supplier",IF(COUNTIFS(Quotes!$A$5:$A$84,$A12,Quotes!$B$5:$B$84,$D12,Quotes!$AN$5:$AN$84,"&gt;0")=0,"No valid offer from this supplier","OK")))</f>
      </c>
    </row>
    <row r="13">
      <c r="A13" s="17">
        <f>IF(Lines!$A13="","",Lines!$A13)</f>
      </c>
      <c r="B13" s="3">
        <f>IF($A13="","",Lines!$B13&amp;"")</f>
      </c>
      <c r="C13" s="17">
        <f>IF($A13="","",Lines!$D13)</f>
      </c>
      <c r="D13" s="6">
        <f>IF(OR($A13="",Compare!$E13="No valid offer"),"",Compare!$E13)</f>
      </c>
      <c r="E13" s="15">
        <f>IF($G13&lt;&gt;"OK","",SUMIFS(Quotes!$AN$5:$AN$84,Quotes!$A$5:$A$84,$A13,Quotes!$AK$5:$AK$84,1))</f>
      </c>
      <c r="F13" s="16">
        <f>IF($E13="","",$E13/$C13)</f>
      </c>
      <c r="G13" s="3">
        <f>IF($A13="","",IF($D13="","Choose a supplier",IF(COUNTIFS(Quotes!$A$5:$A$84,$A13,Quotes!$B$5:$B$84,$D13,Quotes!$AN$5:$AN$84,"&gt;0")=0,"No valid offer from this supplier","OK")))</f>
      </c>
    </row>
    <row r="14">
      <c r="A14" s="17">
        <f>IF(Lines!$A14="","",Lines!$A14)</f>
      </c>
      <c r="B14" s="3">
        <f>IF($A14="","",Lines!$B14&amp;"")</f>
      </c>
      <c r="C14" s="17">
        <f>IF($A14="","",Lines!$D14)</f>
      </c>
      <c r="D14" s="6">
        <f>IF(OR($A14="",Compare!$E14="No valid offer"),"",Compare!$E14)</f>
      </c>
      <c r="E14" s="15">
        <f>IF($G14&lt;&gt;"OK","",SUMIFS(Quotes!$AN$5:$AN$84,Quotes!$A$5:$A$84,$A14,Quotes!$AK$5:$AK$84,1))</f>
      </c>
      <c r="F14" s="16">
        <f>IF($E14="","",$E14/$C14)</f>
      </c>
      <c r="G14" s="3">
        <f>IF($A14="","",IF($D14="","Choose a supplier",IF(COUNTIFS(Quotes!$A$5:$A$84,$A14,Quotes!$B$5:$B$84,$D14,Quotes!$AN$5:$AN$84,"&gt;0")=0,"No valid offer from this supplier","OK")))</f>
      </c>
    </row>
    <row r="15">
      <c r="A15" s="17">
        <f>IF(Lines!$A15="","",Lines!$A15)</f>
      </c>
      <c r="B15" s="3">
        <f>IF($A15="","",Lines!$B15&amp;"")</f>
      </c>
      <c r="C15" s="17">
        <f>IF($A15="","",Lines!$D15)</f>
      </c>
      <c r="D15" s="6">
        <f>IF(OR($A15="",Compare!$E15="No valid offer"),"",Compare!$E15)</f>
      </c>
      <c r="E15" s="15">
        <f>IF($G15&lt;&gt;"OK","",SUMIFS(Quotes!$AN$5:$AN$84,Quotes!$A$5:$A$84,$A15,Quotes!$AK$5:$AK$84,1))</f>
      </c>
      <c r="F15" s="16">
        <f>IF($E15="","",$E15/$C15)</f>
      </c>
      <c r="G15" s="3">
        <f>IF($A15="","",IF($D15="","Choose a supplier",IF(COUNTIFS(Quotes!$A$5:$A$84,$A15,Quotes!$B$5:$B$84,$D15,Quotes!$AN$5:$AN$84,"&gt;0")=0,"No valid offer from this supplier","OK")))</f>
      </c>
    </row>
    <row r="16">
      <c r="A16" s="17">
        <f>IF(Lines!$A16="","",Lines!$A16)</f>
      </c>
      <c r="B16" s="3">
        <f>IF($A16="","",Lines!$B16&amp;"")</f>
      </c>
      <c r="C16" s="17">
        <f>IF($A16="","",Lines!$D16)</f>
      </c>
      <c r="D16" s="6">
        <f>IF(OR($A16="",Compare!$E16="No valid offer"),"",Compare!$E16)</f>
      </c>
      <c r="E16" s="15">
        <f>IF($G16&lt;&gt;"OK","",SUMIFS(Quotes!$AN$5:$AN$84,Quotes!$A$5:$A$84,$A16,Quotes!$AK$5:$AK$84,1))</f>
      </c>
      <c r="F16" s="16">
        <f>IF($E16="","",$E16/$C16)</f>
      </c>
      <c r="G16" s="3">
        <f>IF($A16="","",IF($D16="","Choose a supplier",IF(COUNTIFS(Quotes!$A$5:$A$84,$A16,Quotes!$B$5:$B$84,$D16,Quotes!$AN$5:$AN$84,"&gt;0")=0,"No valid offer from this supplier","OK")))</f>
      </c>
    </row>
    <row r="17">
      <c r="A17" s="17">
        <f>IF(Lines!$A17="","",Lines!$A17)</f>
      </c>
      <c r="B17" s="3">
        <f>IF($A17="","",Lines!$B17&amp;"")</f>
      </c>
      <c r="C17" s="17">
        <f>IF($A17="","",Lines!$D17)</f>
      </c>
      <c r="D17" s="6">
        <f>IF(OR($A17="",Compare!$E17="No valid offer"),"",Compare!$E17)</f>
      </c>
      <c r="E17" s="15">
        <f>IF($G17&lt;&gt;"OK","",SUMIFS(Quotes!$AN$5:$AN$84,Quotes!$A$5:$A$84,$A17,Quotes!$AK$5:$AK$84,1))</f>
      </c>
      <c r="F17" s="16">
        <f>IF($E17="","",$E17/$C17)</f>
      </c>
      <c r="G17" s="3">
        <f>IF($A17="","",IF($D17="","Choose a supplier",IF(COUNTIFS(Quotes!$A$5:$A$84,$A17,Quotes!$B$5:$B$84,$D17,Quotes!$AN$5:$AN$84,"&gt;0")=0,"No valid offer from this supplier","OK")))</f>
      </c>
    </row>
    <row r="18">
      <c r="A18" s="17">
        <f>IF(Lines!$A18="","",Lines!$A18)</f>
      </c>
      <c r="B18" s="3">
        <f>IF($A18="","",Lines!$B18&amp;"")</f>
      </c>
      <c r="C18" s="17">
        <f>IF($A18="","",Lines!$D18)</f>
      </c>
      <c r="D18" s="6">
        <f>IF(OR($A18="",Compare!$E18="No valid offer"),"",Compare!$E18)</f>
      </c>
      <c r="E18" s="15">
        <f>IF($G18&lt;&gt;"OK","",SUMIFS(Quotes!$AN$5:$AN$84,Quotes!$A$5:$A$84,$A18,Quotes!$AK$5:$AK$84,1))</f>
      </c>
      <c r="F18" s="16">
        <f>IF($E18="","",$E18/$C18)</f>
      </c>
      <c r="G18" s="3">
        <f>IF($A18="","",IF($D18="","Choose a supplier",IF(COUNTIFS(Quotes!$A$5:$A$84,$A18,Quotes!$B$5:$B$84,$D18,Quotes!$AN$5:$AN$84,"&gt;0")=0,"No valid offer from this supplier","OK")))</f>
      </c>
    </row>
    <row r="19">
      <c r="A19" s="17">
        <f>IF(Lines!$A19="","",Lines!$A19)</f>
      </c>
      <c r="B19" s="3">
        <f>IF($A19="","",Lines!$B19&amp;"")</f>
      </c>
      <c r="C19" s="17">
        <f>IF($A19="","",Lines!$D19)</f>
      </c>
      <c r="D19" s="6">
        <f>IF(OR($A19="",Compare!$E19="No valid offer"),"",Compare!$E19)</f>
      </c>
      <c r="E19" s="15">
        <f>IF($G19&lt;&gt;"OK","",SUMIFS(Quotes!$AN$5:$AN$84,Quotes!$A$5:$A$84,$A19,Quotes!$AK$5:$AK$84,1))</f>
      </c>
      <c r="F19" s="16">
        <f>IF($E19="","",$E19/$C19)</f>
      </c>
      <c r="G19" s="3">
        <f>IF($A19="","",IF($D19="","Choose a supplier",IF(COUNTIFS(Quotes!$A$5:$A$84,$A19,Quotes!$B$5:$B$84,$D19,Quotes!$AN$5:$AN$84,"&gt;0")=0,"No valid offer from this supplier","OK")))</f>
      </c>
    </row>
    <row r="20">
      <c r="A20" s="17">
        <f>IF(Lines!$A20="","",Lines!$A20)</f>
      </c>
      <c r="B20" s="3">
        <f>IF($A20="","",Lines!$B20&amp;"")</f>
      </c>
      <c r="C20" s="17">
        <f>IF($A20="","",Lines!$D20)</f>
      </c>
      <c r="D20" s="6">
        <f>IF(OR($A20="",Compare!$E20="No valid offer"),"",Compare!$E20)</f>
      </c>
      <c r="E20" s="15">
        <f>IF($G20&lt;&gt;"OK","",SUMIFS(Quotes!$AN$5:$AN$84,Quotes!$A$5:$A$84,$A20,Quotes!$AK$5:$AK$84,1))</f>
      </c>
      <c r="F20" s="16">
        <f>IF($E20="","",$E20/$C20)</f>
      </c>
      <c r="G20" s="3">
        <f>IF($A20="","",IF($D20="","Choose a supplier",IF(COUNTIFS(Quotes!$A$5:$A$84,$A20,Quotes!$B$5:$B$84,$D20,Quotes!$AN$5:$AN$84,"&gt;0")=0,"No valid offer from this supplier","OK")))</f>
      </c>
    </row>
    <row r="21">
      <c r="A21" s="17">
        <f>IF(Lines!$A21="","",Lines!$A21)</f>
      </c>
      <c r="B21" s="3">
        <f>IF($A21="","",Lines!$B21&amp;"")</f>
      </c>
      <c r="C21" s="17">
        <f>IF($A21="","",Lines!$D21)</f>
      </c>
      <c r="D21" s="6">
        <f>IF(OR($A21="",Compare!$E21="No valid offer"),"",Compare!$E21)</f>
      </c>
      <c r="E21" s="15">
        <f>IF($G21&lt;&gt;"OK","",SUMIFS(Quotes!$AN$5:$AN$84,Quotes!$A$5:$A$84,$A21,Quotes!$AK$5:$AK$84,1))</f>
      </c>
      <c r="F21" s="16">
        <f>IF($E21="","",$E21/$C21)</f>
      </c>
      <c r="G21" s="3">
        <f>IF($A21="","",IF($D21="","Choose a supplier",IF(COUNTIFS(Quotes!$A$5:$A$84,$A21,Quotes!$B$5:$B$84,$D21,Quotes!$AN$5:$AN$84,"&gt;0")=0,"No valid offer from this supplier","OK")))</f>
      </c>
    </row>
    <row r="22">
      <c r="A22" s="17">
        <f>IF(Lines!$A22="","",Lines!$A22)</f>
      </c>
      <c r="B22" s="3">
        <f>IF($A22="","",Lines!$B22&amp;"")</f>
      </c>
      <c r="C22" s="17">
        <f>IF($A22="","",Lines!$D22)</f>
      </c>
      <c r="D22" s="6">
        <f>IF(OR($A22="",Compare!$E22="No valid offer"),"",Compare!$E22)</f>
      </c>
      <c r="E22" s="15">
        <f>IF($G22&lt;&gt;"OK","",SUMIFS(Quotes!$AN$5:$AN$84,Quotes!$A$5:$A$84,$A22,Quotes!$AK$5:$AK$84,1))</f>
      </c>
      <c r="F22" s="16">
        <f>IF($E22="","",$E22/$C22)</f>
      </c>
      <c r="G22" s="3">
        <f>IF($A22="","",IF($D22="","Choose a supplier",IF(COUNTIFS(Quotes!$A$5:$A$84,$A22,Quotes!$B$5:$B$84,$D22,Quotes!$AN$5:$AN$84,"&gt;0")=0,"No valid offer from this supplier","OK")))</f>
      </c>
    </row>
    <row r="23">
      <c r="A23" s="17">
        <f>IF(Lines!$A23="","",Lines!$A23)</f>
      </c>
      <c r="B23" s="3">
        <f>IF($A23="","",Lines!$B23&amp;"")</f>
      </c>
      <c r="C23" s="17">
        <f>IF($A23="","",Lines!$D23)</f>
      </c>
      <c r="D23" s="6">
        <f>IF(OR($A23="",Compare!$E23="No valid offer"),"",Compare!$E23)</f>
      </c>
      <c r="E23" s="15">
        <f>IF($G23&lt;&gt;"OK","",SUMIFS(Quotes!$AN$5:$AN$84,Quotes!$A$5:$A$84,$A23,Quotes!$AK$5:$AK$84,1))</f>
      </c>
      <c r="F23" s="16">
        <f>IF($E23="","",$E23/$C23)</f>
      </c>
      <c r="G23" s="3">
        <f>IF($A23="","",IF($D23="","Choose a supplier",IF(COUNTIFS(Quotes!$A$5:$A$84,$A23,Quotes!$B$5:$B$84,$D23,Quotes!$AN$5:$AN$84,"&gt;0")=0,"No valid offer from this supplier","OK")))</f>
      </c>
    </row>
    <row r="24">
      <c r="A24" s="17">
        <f>IF(Lines!$A24="","",Lines!$A24)</f>
      </c>
      <c r="B24" s="3">
        <f>IF($A24="","",Lines!$B24&amp;"")</f>
      </c>
      <c r="C24" s="17">
        <f>IF($A24="","",Lines!$D24)</f>
      </c>
      <c r="D24" s="6">
        <f>IF(OR($A24="",Compare!$E24="No valid offer"),"",Compare!$E24)</f>
      </c>
      <c r="E24" s="15">
        <f>IF($G24&lt;&gt;"OK","",SUMIFS(Quotes!$AN$5:$AN$84,Quotes!$A$5:$A$84,$A24,Quotes!$AK$5:$AK$84,1))</f>
      </c>
      <c r="F24" s="16">
        <f>IF($E24="","",$E24/$C24)</f>
      </c>
      <c r="G24" s="3">
        <f>IF($A24="","",IF($D24="","Choose a supplier",IF(COUNTIFS(Quotes!$A$5:$A$84,$A24,Quotes!$B$5:$B$84,$D24,Quotes!$AN$5:$AN$84,"&gt;0")=0,"No valid offer from this supplier","OK")))</f>
      </c>
    </row>
    <row r="25">
      <c r="A25" s="17">
        <f>IF(Lines!$A25="","",Lines!$A25)</f>
      </c>
      <c r="B25" s="3">
        <f>IF($A25="","",Lines!$B25&amp;"")</f>
      </c>
      <c r="C25" s="17">
        <f>IF($A25="","",Lines!$D25)</f>
      </c>
      <c r="D25" s="6">
        <f>IF(OR($A25="",Compare!$E25="No valid offer"),"",Compare!$E25)</f>
      </c>
      <c r="E25" s="15">
        <f>IF($G25&lt;&gt;"OK","",SUMIFS(Quotes!$AN$5:$AN$84,Quotes!$A$5:$A$84,$A25,Quotes!$AK$5:$AK$84,1))</f>
      </c>
      <c r="F25" s="16">
        <f>IF($E25="","",$E25/$C25)</f>
      </c>
      <c r="G25" s="3">
        <f>IF($A25="","",IF($D25="","Choose a supplier",IF(COUNTIFS(Quotes!$A$5:$A$84,$A25,Quotes!$B$5:$B$84,$D25,Quotes!$AN$5:$AN$84,"&gt;0")=0,"No valid offer from this supplier","OK")))</f>
      </c>
    </row>
    <row r="26">
      <c r="A26" s="17">
        <f>IF(Lines!$A26="","",Lines!$A26)</f>
      </c>
      <c r="B26" s="3">
        <f>IF($A26="","",Lines!$B26&amp;"")</f>
      </c>
      <c r="C26" s="17">
        <f>IF($A26="","",Lines!$D26)</f>
      </c>
      <c r="D26" s="6">
        <f>IF(OR($A26="",Compare!$E26="No valid offer"),"",Compare!$E26)</f>
      </c>
      <c r="E26" s="15">
        <f>IF($G26&lt;&gt;"OK","",SUMIFS(Quotes!$AN$5:$AN$84,Quotes!$A$5:$A$84,$A26,Quotes!$AK$5:$AK$84,1))</f>
      </c>
      <c r="F26" s="16">
        <f>IF($E26="","",$E26/$C26)</f>
      </c>
      <c r="G26" s="3">
        <f>IF($A26="","",IF($D26="","Choose a supplier",IF(COUNTIFS(Quotes!$A$5:$A$84,$A26,Quotes!$B$5:$B$84,$D26,Quotes!$AN$5:$AN$84,"&gt;0")=0,"No valid offer from this supplier","OK")))</f>
      </c>
    </row>
    <row r="27">
      <c r="A27" s="17">
        <f>IF(Lines!$A27="","",Lines!$A27)</f>
      </c>
      <c r="B27" s="3">
        <f>IF($A27="","",Lines!$B27&amp;"")</f>
      </c>
      <c r="C27" s="17">
        <f>IF($A27="","",Lines!$D27)</f>
      </c>
      <c r="D27" s="6">
        <f>IF(OR($A27="",Compare!$E27="No valid offer"),"",Compare!$E27)</f>
      </c>
      <c r="E27" s="15">
        <f>IF($G27&lt;&gt;"OK","",SUMIFS(Quotes!$AN$5:$AN$84,Quotes!$A$5:$A$84,$A27,Quotes!$AK$5:$AK$84,1))</f>
      </c>
      <c r="F27" s="16">
        <f>IF($E27="","",$E27/$C27)</f>
      </c>
      <c r="G27" s="3">
        <f>IF($A27="","",IF($D27="","Choose a supplier",IF(COUNTIFS(Quotes!$A$5:$A$84,$A27,Quotes!$B$5:$B$84,$D27,Quotes!$AN$5:$AN$84,"&gt;0")=0,"No valid offer from this supplier","OK")))</f>
      </c>
    </row>
    <row r="28">
      <c r="A28" s="17">
        <f>IF(Lines!$A28="","",Lines!$A28)</f>
      </c>
      <c r="B28" s="3">
        <f>IF($A28="","",Lines!$B28&amp;"")</f>
      </c>
      <c r="C28" s="17">
        <f>IF($A28="","",Lines!$D28)</f>
      </c>
      <c r="D28" s="6">
        <f>IF(OR($A28="",Compare!$E28="No valid offer"),"",Compare!$E28)</f>
      </c>
      <c r="E28" s="15">
        <f>IF($G28&lt;&gt;"OK","",SUMIFS(Quotes!$AN$5:$AN$84,Quotes!$A$5:$A$84,$A28,Quotes!$AK$5:$AK$84,1))</f>
      </c>
      <c r="F28" s="16">
        <f>IF($E28="","",$E28/$C28)</f>
      </c>
      <c r="G28" s="3">
        <f>IF($A28="","",IF($D28="","Choose a supplier",IF(COUNTIFS(Quotes!$A$5:$A$84,$A28,Quotes!$B$5:$B$84,$D28,Quotes!$AN$5:$AN$84,"&gt;0")=0,"No valid offer from this supplier","OK")))</f>
      </c>
    </row>
    <row r="29">
      <c r="A29" s="17">
        <f>IF(Lines!$A29="","",Lines!$A29)</f>
      </c>
      <c r="B29" s="3">
        <f>IF($A29="","",Lines!$B29&amp;"")</f>
      </c>
      <c r="C29" s="17">
        <f>IF($A29="","",Lines!$D29)</f>
      </c>
      <c r="D29" s="6">
        <f>IF(OR($A29="",Compare!$E29="No valid offer"),"",Compare!$E29)</f>
      </c>
      <c r="E29" s="15">
        <f>IF($G29&lt;&gt;"OK","",SUMIFS(Quotes!$AN$5:$AN$84,Quotes!$A$5:$A$84,$A29,Quotes!$AK$5:$AK$84,1))</f>
      </c>
      <c r="F29" s="16">
        <f>IF($E29="","",$E29/$C29)</f>
      </c>
      <c r="G29" s="3">
        <f>IF($A29="","",IF($D29="","Choose a supplier",IF(COUNTIFS(Quotes!$A$5:$A$84,$A29,Quotes!$B$5:$B$84,$D29,Quotes!$AN$5:$AN$84,"&gt;0")=0,"No valid offer from this supplier","OK")))</f>
      </c>
    </row>
    <row r="30">
      <c r="A30" s="17">
        <f>IF(Lines!$A30="","",Lines!$A30)</f>
      </c>
      <c r="B30" s="3">
        <f>IF($A30="","",Lines!$B30&amp;"")</f>
      </c>
      <c r="C30" s="17">
        <f>IF($A30="","",Lines!$D30)</f>
      </c>
      <c r="D30" s="6">
        <f>IF(OR($A30="",Compare!$E30="No valid offer"),"",Compare!$E30)</f>
      </c>
      <c r="E30" s="15">
        <f>IF($G30&lt;&gt;"OK","",SUMIFS(Quotes!$AN$5:$AN$84,Quotes!$A$5:$A$84,$A30,Quotes!$AK$5:$AK$84,1))</f>
      </c>
      <c r="F30" s="16">
        <f>IF($E30="","",$E30/$C30)</f>
      </c>
      <c r="G30" s="3">
        <f>IF($A30="","",IF($D30="","Choose a supplier",IF(COUNTIFS(Quotes!$A$5:$A$84,$A30,Quotes!$B$5:$B$84,$D30,Quotes!$AN$5:$AN$84,"&gt;0")=0,"No valid offer from this supplier","OK")))</f>
      </c>
    </row>
    <row r="31">
      <c r="A31" s="17">
        <f>IF(Lines!$A31="","",Lines!$A31)</f>
      </c>
      <c r="B31" s="3">
        <f>IF($A31="","",Lines!$B31&amp;"")</f>
      </c>
      <c r="C31" s="17">
        <f>IF($A31="","",Lines!$D31)</f>
      </c>
      <c r="D31" s="6">
        <f>IF(OR($A31="",Compare!$E31="No valid offer"),"",Compare!$E31)</f>
      </c>
      <c r="E31" s="15">
        <f>IF($G31&lt;&gt;"OK","",SUMIFS(Quotes!$AN$5:$AN$84,Quotes!$A$5:$A$84,$A31,Quotes!$AK$5:$AK$84,1))</f>
      </c>
      <c r="F31" s="16">
        <f>IF($E31="","",$E31/$C31)</f>
      </c>
      <c r="G31" s="3">
        <f>IF($A31="","",IF($D31="","Choose a supplier",IF(COUNTIFS(Quotes!$A$5:$A$84,$A31,Quotes!$B$5:$B$84,$D31,Quotes!$AN$5:$AN$84,"&gt;0")=0,"No valid offer from this supplier","OK")))</f>
      </c>
    </row>
    <row r="32">
      <c r="A32" s="17">
        <f>IF(Lines!$A32="","",Lines!$A32)</f>
      </c>
      <c r="B32" s="3">
        <f>IF($A32="","",Lines!$B32&amp;"")</f>
      </c>
      <c r="C32" s="17">
        <f>IF($A32="","",Lines!$D32)</f>
      </c>
      <c r="D32" s="6">
        <f>IF(OR($A32="",Compare!$E32="No valid offer"),"",Compare!$E32)</f>
      </c>
      <c r="E32" s="15">
        <f>IF($G32&lt;&gt;"OK","",SUMIFS(Quotes!$AN$5:$AN$84,Quotes!$A$5:$A$84,$A32,Quotes!$AK$5:$AK$84,1))</f>
      </c>
      <c r="F32" s="16">
        <f>IF($E32="","",$E32/$C32)</f>
      </c>
      <c r="G32" s="3">
        <f>IF($A32="","",IF($D32="","Choose a supplier",IF(COUNTIFS(Quotes!$A$5:$A$84,$A32,Quotes!$B$5:$B$84,$D32,Quotes!$AN$5:$AN$84,"&gt;0")=0,"No valid offer from this supplier","OK")))</f>
      </c>
    </row>
    <row r="33">
      <c r="A33" s="17">
        <f>IF(Lines!$A33="","",Lines!$A33)</f>
      </c>
      <c r="B33" s="3">
        <f>IF($A33="","",Lines!$B33&amp;"")</f>
      </c>
      <c r="C33" s="17">
        <f>IF($A33="","",Lines!$D33)</f>
      </c>
      <c r="D33" s="6">
        <f>IF(OR($A33="",Compare!$E33="No valid offer"),"",Compare!$E33)</f>
      </c>
      <c r="E33" s="15">
        <f>IF($G33&lt;&gt;"OK","",SUMIFS(Quotes!$AN$5:$AN$84,Quotes!$A$5:$A$84,$A33,Quotes!$AK$5:$AK$84,1))</f>
      </c>
      <c r="F33" s="16">
        <f>IF($E33="","",$E33/$C33)</f>
      </c>
      <c r="G33" s="3">
        <f>IF($A33="","",IF($D33="","Choose a supplier",IF(COUNTIFS(Quotes!$A$5:$A$84,$A33,Quotes!$B$5:$B$84,$D33,Quotes!$AN$5:$AN$84,"&gt;0")=0,"No valid offer from this supplier","OK")))</f>
      </c>
    </row>
    <row r="34">
      <c r="A34" s="17">
        <f>IF(Lines!$A34="","",Lines!$A34)</f>
      </c>
      <c r="B34" s="3">
        <f>IF($A34="","",Lines!$B34&amp;"")</f>
      </c>
      <c r="C34" s="17">
        <f>IF($A34="","",Lines!$D34)</f>
      </c>
      <c r="D34" s="6">
        <f>IF(OR($A34="",Compare!$E34="No valid offer"),"",Compare!$E34)</f>
      </c>
      <c r="E34" s="15">
        <f>IF($G34&lt;&gt;"OK","",SUMIFS(Quotes!$AN$5:$AN$84,Quotes!$A$5:$A$84,$A34,Quotes!$AK$5:$AK$84,1))</f>
      </c>
      <c r="F34" s="16">
        <f>IF($E34="","",$E34/$C34)</f>
      </c>
      <c r="G34" s="3">
        <f>IF($A34="","",IF($D34="","Choose a supplier",IF(COUNTIFS(Quotes!$A$5:$A$84,$A34,Quotes!$B$5:$B$84,$D34,Quotes!$AN$5:$AN$84,"&gt;0")=0,"No valid offer from this supplier","OK")))</f>
      </c>
    </row>
    <row r="36">
      <c r="A36" s="2" t="inlineStr">
        <is>
          <t xml:space="preserve">This award, total</t>
        </is>
      </c>
      <c r="E36" s="19">
        <f>SUM(E5:E34)</f>
      </c>
    </row>
    <row r="37">
      <c r="A37" s="2">
        <f>"Everything from "&amp;IF(Setup!$B$5="","your current supplier",Setup!$B$5)</f>
      </c>
      <c r="E37" s="15">
        <f>IF(Setup!$B$5="","",IF(COUNTIFS(Quotes!$B$5:$B$84,Setup!$B$5,Quotes!$AA$5:$AA$84,"&gt;0")&lt;COUNT(Lines!$D$5:$D$34),"",SUMIFS(Quotes!$AA$5:$AA$84,Quotes!$B$5:$B$84,Setup!$B$5)))</f>
      </c>
      <c r="G37" s="8">
        <f>IF(Setup!$B$5="","Name your current supplier in Setup",IF(E37="","It did not quote every line",""))</f>
      </c>
    </row>
    <row r="38">
      <c r="A38" s="2" t="inlineStr">
        <is>
          <t xml:space="preserve">Saving against it</t>
        </is>
      </c>
      <c r="E38" s="19">
        <f>IF(E37="","",E37-E36)</f>
      </c>
      <c r="F38" s="18">
        <f>IF(E37="","",E38/E37)</f>
      </c>
    </row>
    <row r="39">
      <c r="A39" s="8" t="inlineStr">
        <is>
          <t xml:space="preserve">Incomplete lines (no supplier or no valid offer) are not in the total; check Status. Also check lead times and validity on Quotes before you order.</t>
        </is>
      </c>
    </row>
  </sheetData>
  <dataValidations count="1">
    <dataValidation type="list" errorStyle="warning" allowBlank="1" showInputMessage="1" showErrorMessage="1" prompt="Choose the supplier you will buy this line from." sqref="D5:D34">
      <formula1>Suppliers!$A$5:$A$12</formula1>
    </dataValidation>
  </dataValidations>
  <pageMargins left="0.5" right="0.5" top="0.6" bottom="0.6" header="0.3" footer="0.3"/>
</worksheet>
</file>

<file path=docProps/app.xml><?xml version="1.0" encoding="utf-8"?>
<Properties xmlns="http://schemas.openxmlformats.org/officeDocument/2006/extended-properties">
  <Application>Proceny</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Quote comparison template</dc:title>
  <dc:subject>Compare supplier quotes on landed cost per unit needed</dc:subject>
  <dc:creator>Proceny</dc:creator>
  <cp:keywords>quote comparison, price breaks, MOQ, landed cost, freight allocation</cp:keywords>
  <dc:description>Free template by Proceny (proceny.com). The example data is fictional.</dc:description>
</cp:coreProperties>
</file>